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01 DDC Pandemic\2023-2024 Projects\IN HOUSE\"/>
    </mc:Choice>
  </mc:AlternateContent>
  <xr:revisionPtr revIDLastSave="0" documentId="8_{7F16B862-1F54-4A4F-90B3-486A15FFF56C}" xr6:coauthVersionLast="47" xr6:coauthVersionMax="47" xr10:uidLastSave="{00000000-0000-0000-0000-000000000000}"/>
  <bookViews>
    <workbookView xWindow="4530" yWindow="1950" windowWidth="21120" windowHeight="12390" firstSheet="5" activeTab="6" xr2:uid="{8426E22B-8412-0441-ADA8-483D2899A302}"/>
  </bookViews>
  <sheets>
    <sheet name="Assumption" sheetId="3" r:id="rId1"/>
    <sheet name="Traditional Const Costs" sheetId="1" r:id="rId2"/>
    <sheet name="Trad Debt Service" sheetId="6" r:id="rId3"/>
    <sheet name="Utility Trenching Costs" sheetId="8" r:id="rId4"/>
    <sheet name="DOT Resurfacings" sheetId="7" r:id="rId5"/>
    <sheet name="Util Const Costs + DS " sheetId="12" r:id="rId6"/>
    <sheet name="Traditional vs Utilidor" sheetId="2" r:id="rId7"/>
    <sheet name="Sensitivity" sheetId="9" r:id="rId8"/>
    <sheet name="Sensitivity OM + DS" sheetId="10" r:id="rId9"/>
    <sheet name="Sensitivity OM + DS result" sheetId="11"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12" l="1"/>
  <c r="P22" i="12"/>
  <c r="P23" i="12"/>
  <c r="P24" i="12"/>
  <c r="P25" i="12"/>
  <c r="P26" i="12"/>
  <c r="P27" i="12"/>
  <c r="P28" i="12"/>
  <c r="P29" i="12"/>
  <c r="P30" i="12"/>
  <c r="P31" i="12"/>
  <c r="P32" i="12"/>
  <c r="P33" i="12"/>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21" i="12"/>
  <c r="O22" i="12"/>
  <c r="Q22" i="12" s="1"/>
  <c r="O23" i="12"/>
  <c r="Q23" i="12" s="1"/>
  <c r="O24" i="12"/>
  <c r="Q24" i="12" s="1"/>
  <c r="O25" i="12"/>
  <c r="O26" i="12"/>
  <c r="Q26" i="12" s="1"/>
  <c r="O27" i="12"/>
  <c r="O28" i="12"/>
  <c r="O29" i="12"/>
  <c r="O30" i="12"/>
  <c r="Q30" i="12" s="1"/>
  <c r="O31" i="12"/>
  <c r="Q31" i="12" s="1"/>
  <c r="O32" i="12"/>
  <c r="Q32" i="12" s="1"/>
  <c r="O33" i="12"/>
  <c r="O34" i="12"/>
  <c r="Q34" i="12" s="1"/>
  <c r="O35" i="12"/>
  <c r="Q35" i="12" s="1"/>
  <c r="O36" i="12"/>
  <c r="O37" i="12"/>
  <c r="O38" i="12"/>
  <c r="Q38" i="12" s="1"/>
  <c r="O39" i="12"/>
  <c r="O40" i="12"/>
  <c r="Q40" i="12" s="1"/>
  <c r="O41" i="12"/>
  <c r="O42" i="12"/>
  <c r="O43" i="12"/>
  <c r="Q43" i="12" s="1"/>
  <c r="O44" i="12"/>
  <c r="Q44" i="12" s="1"/>
  <c r="O45" i="12"/>
  <c r="O46" i="12"/>
  <c r="Q46" i="12" s="1"/>
  <c r="O47" i="12"/>
  <c r="Q47" i="12" s="1"/>
  <c r="O48" i="12"/>
  <c r="O49" i="12"/>
  <c r="Q49" i="12" s="1"/>
  <c r="O50" i="12"/>
  <c r="Q50" i="12" s="1"/>
  <c r="O51" i="12"/>
  <c r="Q51" i="12" s="1"/>
  <c r="O52" i="12"/>
  <c r="O53" i="12"/>
  <c r="O54" i="12"/>
  <c r="O55" i="12"/>
  <c r="O56" i="12"/>
  <c r="Q56" i="12" s="1"/>
  <c r="O57" i="12"/>
  <c r="Q57" i="12" s="1"/>
  <c r="O58" i="12"/>
  <c r="O59" i="12"/>
  <c r="O60" i="12"/>
  <c r="O21" i="12"/>
  <c r="J21" i="12"/>
  <c r="K21" i="12" s="1"/>
  <c r="K61" i="12" s="1"/>
  <c r="B18" i="2" s="1"/>
  <c r="E21" i="2" s="1"/>
  <c r="F21" i="2" s="1"/>
  <c r="B19" i="2" s="1"/>
  <c r="Q39" i="12"/>
  <c r="B12" i="2"/>
  <c r="E15" i="2" s="1"/>
  <c r="F15" i="2" s="1"/>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21" i="12"/>
  <c r="B11" i="12"/>
  <c r="B10" i="12"/>
  <c r="C8" i="12"/>
  <c r="C7" i="12"/>
  <c r="B15" i="11"/>
  <c r="B13" i="11"/>
  <c r="B16" i="11" s="1"/>
  <c r="C16" i="11" s="1"/>
  <c r="B8" i="11"/>
  <c r="B7" i="11"/>
  <c r="B4" i="11"/>
  <c r="B3" i="11"/>
  <c r="B5" i="11" s="1"/>
  <c r="B9" i="11" s="1"/>
  <c r="C72" i="10"/>
  <c r="B72" i="10"/>
  <c r="D72" i="10" s="1"/>
  <c r="C71" i="10"/>
  <c r="B71" i="10"/>
  <c r="D71" i="10" s="1"/>
  <c r="C70" i="10"/>
  <c r="B70" i="10"/>
  <c r="D70" i="10" s="1"/>
  <c r="C69" i="10"/>
  <c r="D69" i="10" s="1"/>
  <c r="B69" i="10"/>
  <c r="D68" i="10"/>
  <c r="C68" i="10"/>
  <c r="B68" i="10"/>
  <c r="C67" i="10"/>
  <c r="B67" i="10"/>
  <c r="D67" i="10" s="1"/>
  <c r="D66" i="10"/>
  <c r="C66" i="10"/>
  <c r="B66" i="10"/>
  <c r="C65" i="10"/>
  <c r="B65" i="10"/>
  <c r="D65" i="10" s="1"/>
  <c r="D64" i="10"/>
  <c r="C64" i="10"/>
  <c r="B64" i="10"/>
  <c r="C63" i="10"/>
  <c r="B63" i="10"/>
  <c r="D63" i="10" s="1"/>
  <c r="C62" i="10"/>
  <c r="B62" i="10"/>
  <c r="D62" i="10" s="1"/>
  <c r="D61" i="10"/>
  <c r="C61" i="10"/>
  <c r="B61" i="10"/>
  <c r="C60" i="10"/>
  <c r="D60" i="10" s="1"/>
  <c r="B60" i="10"/>
  <c r="C59" i="10"/>
  <c r="B59" i="10"/>
  <c r="D59" i="10" s="1"/>
  <c r="C58" i="10"/>
  <c r="B58" i="10"/>
  <c r="D58" i="10" s="1"/>
  <c r="D57" i="10"/>
  <c r="C57" i="10"/>
  <c r="B57" i="10"/>
  <c r="C56" i="10"/>
  <c r="B56" i="10"/>
  <c r="D56" i="10" s="1"/>
  <c r="C55" i="10"/>
  <c r="B55" i="10"/>
  <c r="D55" i="10" s="1"/>
  <c r="C54" i="10"/>
  <c r="B54" i="10"/>
  <c r="D54" i="10" s="1"/>
  <c r="C53" i="10"/>
  <c r="D53" i="10" s="1"/>
  <c r="B53" i="10"/>
  <c r="C52" i="10"/>
  <c r="D52" i="10" s="1"/>
  <c r="B52" i="10"/>
  <c r="C51" i="10"/>
  <c r="B51" i="10"/>
  <c r="D51" i="10" s="1"/>
  <c r="D50" i="10"/>
  <c r="C50" i="10"/>
  <c r="B50" i="10"/>
  <c r="D49" i="10"/>
  <c r="C49" i="10"/>
  <c r="B49" i="10"/>
  <c r="C48" i="10"/>
  <c r="B48" i="10"/>
  <c r="D48" i="10" s="1"/>
  <c r="C47" i="10"/>
  <c r="B47" i="10"/>
  <c r="D47" i="10" s="1"/>
  <c r="C46" i="10"/>
  <c r="B46" i="10"/>
  <c r="D46" i="10" s="1"/>
  <c r="C45" i="10"/>
  <c r="D45" i="10" s="1"/>
  <c r="B45" i="10"/>
  <c r="C44" i="10"/>
  <c r="D44" i="10" s="1"/>
  <c r="B44" i="10"/>
  <c r="C43" i="10"/>
  <c r="B43" i="10"/>
  <c r="D43" i="10" s="1"/>
  <c r="D42" i="10"/>
  <c r="C42" i="10"/>
  <c r="B42" i="10"/>
  <c r="D41" i="10"/>
  <c r="C41" i="10"/>
  <c r="B41" i="10"/>
  <c r="C40" i="10"/>
  <c r="B40" i="10"/>
  <c r="D40" i="10" s="1"/>
  <c r="C39" i="10"/>
  <c r="B39" i="10"/>
  <c r="D39" i="10" s="1"/>
  <c r="C38" i="10"/>
  <c r="B38" i="10"/>
  <c r="D38" i="10" s="1"/>
  <c r="C37" i="10"/>
  <c r="D37" i="10" s="1"/>
  <c r="B37" i="10"/>
  <c r="C36" i="10"/>
  <c r="D36" i="10" s="1"/>
  <c r="B36" i="10"/>
  <c r="C35" i="10"/>
  <c r="B35" i="10"/>
  <c r="D35" i="10" s="1"/>
  <c r="D34" i="10"/>
  <c r="C34" i="10"/>
  <c r="B34" i="10"/>
  <c r="D33" i="10"/>
  <c r="C33" i="10"/>
  <c r="B33" i="10"/>
  <c r="C32" i="10"/>
  <c r="B32" i="10"/>
  <c r="D32" i="10" s="1"/>
  <c r="C31" i="10"/>
  <c r="B31" i="10"/>
  <c r="D31" i="10" s="1"/>
  <c r="C30" i="10"/>
  <c r="B30" i="10"/>
  <c r="D30" i="10" s="1"/>
  <c r="C29" i="10"/>
  <c r="D29" i="10" s="1"/>
  <c r="B29" i="10"/>
  <c r="C28" i="10"/>
  <c r="D28" i="10" s="1"/>
  <c r="B28" i="10"/>
  <c r="C27" i="10"/>
  <c r="B27" i="10"/>
  <c r="D27" i="10" s="1"/>
  <c r="D26" i="10"/>
  <c r="C26" i="10"/>
  <c r="B26" i="10"/>
  <c r="D25" i="10"/>
  <c r="C25" i="10"/>
  <c r="B25" i="10"/>
  <c r="C24" i="10"/>
  <c r="B24" i="10"/>
  <c r="D24" i="10" s="1"/>
  <c r="C23" i="10"/>
  <c r="B23" i="10"/>
  <c r="D23" i="10" s="1"/>
  <c r="C22" i="10"/>
  <c r="B22" i="10"/>
  <c r="D22" i="10" s="1"/>
  <c r="C21" i="10"/>
  <c r="D21" i="10" s="1"/>
  <c r="B21" i="10"/>
  <c r="C20" i="10"/>
  <c r="D20" i="10" s="1"/>
  <c r="B20" i="10"/>
  <c r="C19" i="10"/>
  <c r="B19" i="10"/>
  <c r="D19" i="10" s="1"/>
  <c r="D18" i="10"/>
  <c r="C18" i="10"/>
  <c r="B18" i="10"/>
  <c r="D17" i="10"/>
  <c r="C17" i="10"/>
  <c r="B17" i="10"/>
  <c r="C16" i="10"/>
  <c r="B16" i="10"/>
  <c r="D16" i="10" s="1"/>
  <c r="C15" i="10"/>
  <c r="B15" i="10"/>
  <c r="D15" i="10" s="1"/>
  <c r="C14" i="10"/>
  <c r="B14" i="10"/>
  <c r="D14" i="10" s="1"/>
  <c r="C13" i="10"/>
  <c r="D13" i="10" s="1"/>
  <c r="B13" i="10"/>
  <c r="Q42" i="12" l="1"/>
  <c r="Q60" i="12"/>
  <c r="Q41" i="12"/>
  <c r="Q21" i="12"/>
  <c r="Q25" i="12"/>
  <c r="Q27" i="12"/>
  <c r="Q54" i="12"/>
  <c r="Q55" i="12"/>
  <c r="Q45" i="12"/>
  <c r="Q37" i="12"/>
  <c r="Q58" i="12"/>
  <c r="Q33" i="12"/>
  <c r="Q36" i="12"/>
  <c r="Q28" i="12"/>
  <c r="Q59" i="12"/>
  <c r="Q29" i="12"/>
  <c r="Q53" i="12"/>
  <c r="Q52" i="12"/>
  <c r="Q48" i="12"/>
  <c r="B20" i="2"/>
  <c r="C9" i="12"/>
  <c r="B19" i="11"/>
  <c r="C9" i="11"/>
  <c r="C19" i="11" s="1"/>
  <c r="D73" i="10"/>
  <c r="Q61" i="12" l="1"/>
  <c r="Q63" i="12" s="1"/>
  <c r="Q64" i="12" s="1"/>
  <c r="Q66" i="12" s="1"/>
  <c r="C20" i="2"/>
  <c r="K9" i="12"/>
  <c r="E9" i="12"/>
  <c r="B26" i="12"/>
  <c r="E40" i="9"/>
  <c r="E41" i="9"/>
  <c r="E42" i="9"/>
  <c r="E43" i="9"/>
  <c r="E44" i="9"/>
  <c r="E45" i="9"/>
  <c r="E46" i="9"/>
  <c r="E47" i="9"/>
  <c r="E48" i="9"/>
  <c r="E49" i="9"/>
  <c r="E50" i="9"/>
  <c r="E51" i="9"/>
  <c r="E52" i="9"/>
  <c r="E53" i="9"/>
  <c r="E54" i="9"/>
  <c r="E55" i="9"/>
  <c r="E56" i="9"/>
  <c r="E57" i="9"/>
  <c r="E58" i="9"/>
  <c r="E59" i="9"/>
  <c r="E39" i="9"/>
  <c r="J40" i="9"/>
  <c r="J41" i="9"/>
  <c r="J42" i="9"/>
  <c r="J43" i="9"/>
  <c r="J44" i="9"/>
  <c r="J45" i="9"/>
  <c r="J46" i="9"/>
  <c r="J47" i="9"/>
  <c r="J48" i="9"/>
  <c r="J49" i="9"/>
  <c r="J50" i="9"/>
  <c r="J51" i="9"/>
  <c r="J52" i="9"/>
  <c r="J53" i="9"/>
  <c r="J54" i="9"/>
  <c r="J55" i="9"/>
  <c r="J56" i="9"/>
  <c r="J57" i="9"/>
  <c r="J58" i="9"/>
  <c r="J59" i="9"/>
  <c r="J39" i="9"/>
  <c r="H50" i="9"/>
  <c r="I50" i="9"/>
  <c r="H51" i="9"/>
  <c r="I51" i="9"/>
  <c r="H52" i="9"/>
  <c r="I52" i="9"/>
  <c r="H53" i="9"/>
  <c r="I53" i="9"/>
  <c r="H54" i="9"/>
  <c r="I54" i="9"/>
  <c r="H55" i="9"/>
  <c r="I55" i="9"/>
  <c r="H56" i="9"/>
  <c r="I56" i="9"/>
  <c r="H57" i="9"/>
  <c r="I57" i="9"/>
  <c r="H58" i="9"/>
  <c r="I58" i="9"/>
  <c r="H59" i="9"/>
  <c r="I59" i="9"/>
  <c r="I49" i="9"/>
  <c r="H49" i="9"/>
  <c r="I48" i="9"/>
  <c r="H48" i="9"/>
  <c r="I47" i="9"/>
  <c r="H47" i="9"/>
  <c r="I46" i="9"/>
  <c r="H46" i="9"/>
  <c r="I45" i="9"/>
  <c r="H45" i="9"/>
  <c r="I44" i="9"/>
  <c r="H44" i="9"/>
  <c r="I43" i="9"/>
  <c r="H43" i="9"/>
  <c r="I42" i="9"/>
  <c r="H42" i="9"/>
  <c r="I41" i="9"/>
  <c r="H41" i="9"/>
  <c r="I40" i="9"/>
  <c r="H40" i="9"/>
  <c r="I39" i="9"/>
  <c r="H39" i="9"/>
  <c r="J26" i="9"/>
  <c r="J27" i="9"/>
  <c r="J28" i="9"/>
  <c r="J29" i="9"/>
  <c r="J30" i="9"/>
  <c r="J31" i="9"/>
  <c r="J32" i="9"/>
  <c r="J33" i="9"/>
  <c r="J34" i="9"/>
  <c r="J35" i="9"/>
  <c r="J25" i="9"/>
  <c r="E26" i="9"/>
  <c r="E27" i="9"/>
  <c r="E28" i="9"/>
  <c r="E29" i="9"/>
  <c r="E30" i="9"/>
  <c r="E31" i="9"/>
  <c r="E32" i="9"/>
  <c r="E33" i="9"/>
  <c r="E34" i="9"/>
  <c r="E35" i="9"/>
  <c r="E25" i="9"/>
  <c r="H30" i="9"/>
  <c r="I30" i="9"/>
  <c r="H31" i="9"/>
  <c r="I31" i="9"/>
  <c r="H32" i="9"/>
  <c r="I32" i="9"/>
  <c r="H33" i="9"/>
  <c r="I33" i="9"/>
  <c r="H34" i="9"/>
  <c r="I34" i="9"/>
  <c r="H35" i="9"/>
  <c r="I35" i="9"/>
  <c r="I29" i="9"/>
  <c r="H29" i="9"/>
  <c r="I28" i="9"/>
  <c r="H28" i="9"/>
  <c r="I27" i="9"/>
  <c r="H27" i="9"/>
  <c r="I26" i="9"/>
  <c r="H26" i="9"/>
  <c r="I25" i="9"/>
  <c r="H25" i="9"/>
  <c r="H18" i="9"/>
  <c r="I18" i="9"/>
  <c r="H19" i="9"/>
  <c r="I19" i="9"/>
  <c r="H20" i="9"/>
  <c r="I20" i="9"/>
  <c r="H21" i="9"/>
  <c r="I21" i="9"/>
  <c r="I17" i="9"/>
  <c r="H17" i="9"/>
  <c r="J17" i="9"/>
  <c r="J19" i="9"/>
  <c r="J20" i="9"/>
  <c r="J21" i="9"/>
  <c r="J18" i="9"/>
  <c r="E18" i="9"/>
  <c r="E19" i="9"/>
  <c r="E20" i="9"/>
  <c r="E21" i="9"/>
  <c r="E17" i="9"/>
  <c r="I4" i="9"/>
  <c r="I5" i="9"/>
  <c r="I6" i="9"/>
  <c r="I7" i="9"/>
  <c r="I8" i="9"/>
  <c r="I9" i="9"/>
  <c r="I10" i="9"/>
  <c r="I11" i="9"/>
  <c r="I12" i="9"/>
  <c r="I13" i="9"/>
  <c r="H5" i="9"/>
  <c r="H6" i="9"/>
  <c r="H7" i="9"/>
  <c r="H8" i="9"/>
  <c r="H9" i="9"/>
  <c r="H10" i="9"/>
  <c r="H11" i="9"/>
  <c r="H12" i="9"/>
  <c r="H13" i="9"/>
  <c r="H4" i="9"/>
  <c r="J5" i="9"/>
  <c r="J6" i="9"/>
  <c r="J7" i="9"/>
  <c r="J8" i="9"/>
  <c r="J9" i="9"/>
  <c r="J10" i="9"/>
  <c r="J11" i="9"/>
  <c r="J12" i="9"/>
  <c r="J13" i="9"/>
  <c r="J4" i="9"/>
  <c r="E5" i="9"/>
  <c r="E6" i="9"/>
  <c r="E7" i="9"/>
  <c r="E8" i="9"/>
  <c r="E9" i="9"/>
  <c r="E10" i="9"/>
  <c r="E11" i="9"/>
  <c r="E12" i="9"/>
  <c r="E13" i="9"/>
  <c r="E4" i="9"/>
  <c r="F142" i="8"/>
  <c r="A35" i="8"/>
  <c r="K38" i="12" l="1"/>
  <c r="K23" i="12"/>
  <c r="K50" i="12"/>
  <c r="K60" i="12"/>
  <c r="K49" i="12"/>
  <c r="K34" i="12"/>
  <c r="K30" i="12"/>
  <c r="K47" i="12"/>
  <c r="K53" i="12"/>
  <c r="K56" i="12"/>
  <c r="K52" i="12"/>
  <c r="K41" i="12"/>
  <c r="K26" i="12"/>
  <c r="K22" i="12"/>
  <c r="K28" i="12"/>
  <c r="K59" i="12"/>
  <c r="K48" i="12"/>
  <c r="K44" i="12"/>
  <c r="K33" i="12"/>
  <c r="K51" i="12"/>
  <c r="K40" i="12"/>
  <c r="K46" i="12"/>
  <c r="B21" i="12"/>
  <c r="D21" i="12" s="1"/>
  <c r="K35" i="12"/>
  <c r="K39" i="12"/>
  <c r="C31" i="12"/>
  <c r="C36" i="12"/>
  <c r="B44" i="12"/>
  <c r="C22" i="12"/>
  <c r="B48" i="12"/>
  <c r="D48" i="12" s="1"/>
  <c r="C58" i="12"/>
  <c r="C26" i="12"/>
  <c r="D26" i="12" s="1"/>
  <c r="C59" i="12"/>
  <c r="C27" i="12"/>
  <c r="C23" i="12"/>
  <c r="B31" i="12"/>
  <c r="C41" i="12"/>
  <c r="C56" i="12"/>
  <c r="B53" i="12"/>
  <c r="D53" i="12" s="1"/>
  <c r="B57" i="12"/>
  <c r="B54" i="12"/>
  <c r="B22" i="12"/>
  <c r="D22" i="12" s="1"/>
  <c r="C60" i="12"/>
  <c r="C28" i="12"/>
  <c r="B51" i="12"/>
  <c r="C50" i="12"/>
  <c r="C51" i="12"/>
  <c r="B50" i="12"/>
  <c r="C33" i="12"/>
  <c r="C37" i="12"/>
  <c r="B49" i="12"/>
  <c r="C48" i="12"/>
  <c r="B60" i="12"/>
  <c r="D60" i="12" s="1"/>
  <c r="B28" i="12"/>
  <c r="D28" i="12" s="1"/>
  <c r="C42" i="12"/>
  <c r="C40" i="12"/>
  <c r="C25" i="12"/>
  <c r="C29" i="12"/>
  <c r="B38" i="12"/>
  <c r="C39" i="12"/>
  <c r="B56" i="12"/>
  <c r="D56" i="12" s="1"/>
  <c r="C35" i="12"/>
  <c r="B39" i="12"/>
  <c r="D39" i="12" s="1"/>
  <c r="C21" i="12"/>
  <c r="C45" i="12"/>
  <c r="B36" i="12"/>
  <c r="D36" i="12" s="1"/>
  <c r="B40" i="12"/>
  <c r="D40" i="12" s="1"/>
  <c r="C54" i="12"/>
  <c r="B59" i="12"/>
  <c r="D59" i="12" s="1"/>
  <c r="B55" i="12"/>
  <c r="B23" i="12"/>
  <c r="D23" i="12" s="1"/>
  <c r="B43" i="12"/>
  <c r="B45" i="12"/>
  <c r="D45" i="12" s="1"/>
  <c r="B46" i="12"/>
  <c r="C52" i="12"/>
  <c r="B32" i="12"/>
  <c r="C43" i="12"/>
  <c r="C57" i="12"/>
  <c r="B37" i="12"/>
  <c r="D37" i="12" s="1"/>
  <c r="B35" i="12"/>
  <c r="C44" i="12"/>
  <c r="C30" i="12"/>
  <c r="C38" i="12"/>
  <c r="C49" i="12"/>
  <c r="C53" i="12"/>
  <c r="B30" i="12"/>
  <c r="C55" i="12"/>
  <c r="C47" i="12"/>
  <c r="C32" i="12"/>
  <c r="C46" i="12"/>
  <c r="B47" i="12"/>
  <c r="D47" i="12" s="1"/>
  <c r="C24" i="12"/>
  <c r="B41" i="12"/>
  <c r="D41" i="12" s="1"/>
  <c r="B52" i="12"/>
  <c r="D52" i="12" s="1"/>
  <c r="C34" i="12"/>
  <c r="B34" i="12"/>
  <c r="B29" i="12"/>
  <c r="B42" i="12"/>
  <c r="D42" i="12" s="1"/>
  <c r="B24" i="12"/>
  <c r="D24" i="12" s="1"/>
  <c r="B27" i="12"/>
  <c r="B25" i="12"/>
  <c r="D25" i="12" s="1"/>
  <c r="B33" i="12"/>
  <c r="D33" i="12" s="1"/>
  <c r="B58" i="12"/>
  <c r="D58" i="12" s="1"/>
  <c r="C17" i="1"/>
  <c r="E2" i="6"/>
  <c r="C19" i="1"/>
  <c r="C18" i="1"/>
  <c r="B14" i="1"/>
  <c r="B13" i="1"/>
  <c r="A14" i="7"/>
  <c r="A15" i="7"/>
  <c r="B13" i="2" l="1"/>
  <c r="B14" i="2" s="1"/>
  <c r="D30" i="12"/>
  <c r="D55" i="12"/>
  <c r="K42" i="12"/>
  <c r="D51" i="12"/>
  <c r="K27" i="12"/>
  <c r="K29" i="12"/>
  <c r="K45" i="12"/>
  <c r="D27" i="12"/>
  <c r="D61" i="12" s="1"/>
  <c r="D32" i="12"/>
  <c r="D31" i="12"/>
  <c r="D44" i="12"/>
  <c r="K43" i="12"/>
  <c r="K31" i="12"/>
  <c r="K36" i="12"/>
  <c r="D38" i="12"/>
  <c r="D49" i="12"/>
  <c r="K25" i="12"/>
  <c r="K54" i="12"/>
  <c r="D46" i="12"/>
  <c r="K57" i="12"/>
  <c r="D54" i="12"/>
  <c r="K37" i="12"/>
  <c r="K24" i="12"/>
  <c r="D29" i="12"/>
  <c r="K55" i="12"/>
  <c r="D34" i="12"/>
  <c r="D35" i="12"/>
  <c r="D43" i="12"/>
  <c r="D50" i="12"/>
  <c r="D57" i="12"/>
  <c r="K32" i="12"/>
  <c r="K58" i="12"/>
  <c r="B10" i="7"/>
  <c r="B12" i="7" s="1"/>
  <c r="E8" i="6"/>
  <c r="E5" i="6"/>
  <c r="C8" i="1"/>
  <c r="E14" i="6"/>
  <c r="B15" i="3"/>
  <c r="B29" i="8"/>
  <c r="B30" i="8" s="1"/>
  <c r="I42" i="8"/>
  <c r="D42" i="8" s="1"/>
  <c r="F42" i="8" s="1"/>
  <c r="C14" i="2" l="1"/>
  <c r="D43" i="8"/>
  <c r="B16" i="7"/>
  <c r="B15" i="7"/>
  <c r="B22" i="7" s="1"/>
  <c r="B7" i="2" s="1"/>
  <c r="B21" i="7"/>
  <c r="B19" i="7"/>
  <c r="B18" i="7"/>
  <c r="B17" i="7"/>
  <c r="B20" i="7"/>
  <c r="D141" i="8" l="1"/>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B43" i="8"/>
  <c r="V15" i="6"/>
  <c r="H14" i="6"/>
  <c r="H15" i="6"/>
  <c r="G14" i="6"/>
  <c r="A16" i="7" l="1"/>
  <c r="A17" i="7" s="1"/>
  <c r="A18" i="7" s="1"/>
  <c r="A19" i="7" s="1"/>
  <c r="A20" i="7" s="1"/>
  <c r="A21" i="7" s="1"/>
  <c r="C6" i="1"/>
  <c r="C7" i="1"/>
  <c r="C141" i="8"/>
  <c r="F141" i="8" s="1"/>
  <c r="C140" i="8"/>
  <c r="F140" i="8" s="1"/>
  <c r="C139" i="8"/>
  <c r="F139" i="8" s="1"/>
  <c r="C138" i="8"/>
  <c r="F138" i="8" s="1"/>
  <c r="C137" i="8"/>
  <c r="F137" i="8" s="1"/>
  <c r="C136" i="8"/>
  <c r="F136" i="8" s="1"/>
  <c r="C135" i="8"/>
  <c r="F135" i="8" s="1"/>
  <c r="C134" i="8"/>
  <c r="F134" i="8" s="1"/>
  <c r="C133" i="8"/>
  <c r="F133" i="8" s="1"/>
  <c r="C132" i="8"/>
  <c r="C131" i="8"/>
  <c r="F131" i="8" s="1"/>
  <c r="C130" i="8"/>
  <c r="F130" i="8" s="1"/>
  <c r="C129" i="8"/>
  <c r="F129" i="8" s="1"/>
  <c r="C128" i="8"/>
  <c r="F128" i="8" s="1"/>
  <c r="F127" i="8"/>
  <c r="C127" i="8"/>
  <c r="C126" i="8"/>
  <c r="F126" i="8" s="1"/>
  <c r="C125" i="8"/>
  <c r="F125" i="8" s="1"/>
  <c r="F124" i="8"/>
  <c r="C124" i="8"/>
  <c r="F123" i="8"/>
  <c r="C123" i="8"/>
  <c r="C122" i="8"/>
  <c r="C121" i="8"/>
  <c r="F121" i="8" s="1"/>
  <c r="C120" i="8"/>
  <c r="F120" i="8" s="1"/>
  <c r="C119" i="8"/>
  <c r="F119" i="8" s="1"/>
  <c r="C118" i="8"/>
  <c r="F118" i="8" s="1"/>
  <c r="C117" i="8"/>
  <c r="F117" i="8" s="1"/>
  <c r="C116" i="8"/>
  <c r="F116" i="8" s="1"/>
  <c r="C115" i="8"/>
  <c r="F115" i="8" s="1"/>
  <c r="C114" i="8"/>
  <c r="F114" i="8" s="1"/>
  <c r="C113" i="8"/>
  <c r="F113" i="8" s="1"/>
  <c r="F112" i="8"/>
  <c r="C112" i="8"/>
  <c r="F111" i="8"/>
  <c r="C111" i="8"/>
  <c r="F110" i="8"/>
  <c r="C110" i="8"/>
  <c r="C109" i="8"/>
  <c r="F109" i="8" s="1"/>
  <c r="F108" i="8"/>
  <c r="C108" i="8"/>
  <c r="F107" i="8"/>
  <c r="C107" i="8"/>
  <c r="F106" i="8"/>
  <c r="C106" i="8"/>
  <c r="C105" i="8"/>
  <c r="F105" i="8" s="1"/>
  <c r="F104" i="8"/>
  <c r="C104" i="8"/>
  <c r="F103" i="8"/>
  <c r="C103" i="8"/>
  <c r="C102" i="8"/>
  <c r="F102" i="8" s="1"/>
  <c r="C101" i="8"/>
  <c r="F101" i="8" s="1"/>
  <c r="C100" i="8"/>
  <c r="F100" i="8" s="1"/>
  <c r="C99" i="8"/>
  <c r="F99" i="8" s="1"/>
  <c r="C98" i="8"/>
  <c r="F98" i="8" s="1"/>
  <c r="C97" i="8"/>
  <c r="F97" i="8" s="1"/>
  <c r="C96" i="8"/>
  <c r="F96" i="8" s="1"/>
  <c r="C95" i="8"/>
  <c r="F95" i="8" s="1"/>
  <c r="C94" i="8"/>
  <c r="F94" i="8" s="1"/>
  <c r="C93" i="8"/>
  <c r="F93" i="8" s="1"/>
  <c r="C92" i="8"/>
  <c r="C91" i="8"/>
  <c r="F91" i="8" s="1"/>
  <c r="C90" i="8"/>
  <c r="F90" i="8" s="1"/>
  <c r="C89" i="8"/>
  <c r="F89" i="8" s="1"/>
  <c r="C88" i="8"/>
  <c r="F88" i="8" s="1"/>
  <c r="C87" i="8"/>
  <c r="F87" i="8" s="1"/>
  <c r="F86" i="8"/>
  <c r="C86" i="8"/>
  <c r="F85" i="8"/>
  <c r="C85" i="8"/>
  <c r="C84" i="8"/>
  <c r="F84" i="8" s="1"/>
  <c r="C83" i="8"/>
  <c r="F83" i="8" s="1"/>
  <c r="F82" i="8"/>
  <c r="C82" i="8"/>
  <c r="C81" i="8"/>
  <c r="F81" i="8" s="1"/>
  <c r="C80" i="8"/>
  <c r="F80" i="8" s="1"/>
  <c r="C79" i="8"/>
  <c r="F79" i="8" s="1"/>
  <c r="C78" i="8"/>
  <c r="F78" i="8" s="1"/>
  <c r="C77" i="8"/>
  <c r="F77" i="8" s="1"/>
  <c r="C76" i="8"/>
  <c r="F76" i="8" s="1"/>
  <c r="C75" i="8"/>
  <c r="F75" i="8" s="1"/>
  <c r="C74" i="8"/>
  <c r="F74" i="8" s="1"/>
  <c r="F73" i="8"/>
  <c r="C73" i="8"/>
  <c r="C72" i="8"/>
  <c r="F72" i="8" s="1"/>
  <c r="F71" i="8"/>
  <c r="C71" i="8"/>
  <c r="F70" i="8"/>
  <c r="C70" i="8"/>
  <c r="F69" i="8"/>
  <c r="C69" i="8"/>
  <c r="C68" i="8"/>
  <c r="F68" i="8" s="1"/>
  <c r="F67" i="8"/>
  <c r="C67" i="8"/>
  <c r="C43" i="8"/>
  <c r="F43" i="8" s="1"/>
  <c r="C42" i="8"/>
  <c r="F132" i="8" l="1"/>
  <c r="F122" i="8"/>
  <c r="F92" i="8"/>
  <c r="B44" i="8"/>
  <c r="B45" i="8" l="1"/>
  <c r="C44" i="8"/>
  <c r="F44" i="8" s="1"/>
  <c r="B46" i="8" l="1"/>
  <c r="C45" i="8"/>
  <c r="F45" i="8" s="1"/>
  <c r="C46" i="8" l="1"/>
  <c r="F46" i="8" s="1"/>
  <c r="B47" i="8"/>
  <c r="B48" i="8" l="1"/>
  <c r="C47" i="8"/>
  <c r="F47" i="8" s="1"/>
  <c r="B49" i="8" l="1"/>
  <c r="C48" i="8"/>
  <c r="F48" i="8" s="1"/>
  <c r="B50" i="8" l="1"/>
  <c r="C49" i="8"/>
  <c r="F49" i="8" s="1"/>
  <c r="B51" i="8" l="1"/>
  <c r="C50" i="8"/>
  <c r="F50" i="8" s="1"/>
  <c r="C51" i="8" l="1"/>
  <c r="F51" i="8" s="1"/>
  <c r="B52" i="8"/>
  <c r="B53" i="8" l="1"/>
  <c r="C52" i="8"/>
  <c r="F52" i="8" s="1"/>
  <c r="C53" i="8" l="1"/>
  <c r="F53" i="8" s="1"/>
  <c r="B54" i="8"/>
  <c r="B55" i="8" l="1"/>
  <c r="C54" i="8"/>
  <c r="F54" i="8" s="1"/>
  <c r="C55" i="8" l="1"/>
  <c r="F55" i="8" s="1"/>
  <c r="B56" i="8"/>
  <c r="B57" i="8" l="1"/>
  <c r="C56" i="8"/>
  <c r="F56" i="8" s="1"/>
  <c r="C57" i="8" l="1"/>
  <c r="F57" i="8" s="1"/>
  <c r="B58" i="8"/>
  <c r="B59" i="8" l="1"/>
  <c r="C58" i="8"/>
  <c r="F58" i="8" s="1"/>
  <c r="C59" i="8" l="1"/>
  <c r="F59" i="8" s="1"/>
  <c r="B60" i="8"/>
  <c r="B61" i="8" l="1"/>
  <c r="C60" i="8"/>
  <c r="F60" i="8" s="1"/>
  <c r="C61" i="8" l="1"/>
  <c r="F61" i="8" s="1"/>
  <c r="B62" i="8"/>
  <c r="B63" i="8" l="1"/>
  <c r="C62" i="8"/>
  <c r="F62" i="8" s="1"/>
  <c r="B64" i="8" l="1"/>
  <c r="C63" i="8"/>
  <c r="F63" i="8" s="1"/>
  <c r="B65" i="8" l="1"/>
  <c r="C64" i="8"/>
  <c r="F64" i="8" s="1"/>
  <c r="B66" i="8" l="1"/>
  <c r="C66" i="8" s="1"/>
  <c r="F66" i="8" s="1"/>
  <c r="C65" i="8"/>
  <c r="F65" i="8" s="1"/>
  <c r="B8" i="2" l="1"/>
  <c r="V51" i="6" l="1"/>
  <c r="W50" i="6"/>
  <c r="V50" i="6"/>
  <c r="W44" i="6"/>
  <c r="V44" i="6"/>
  <c r="W43" i="6"/>
  <c r="W39" i="6"/>
  <c r="V39" i="6"/>
  <c r="V37" i="6"/>
  <c r="W32" i="6"/>
  <c r="V32" i="6"/>
  <c r="X32" i="6" s="1"/>
  <c r="V30" i="6"/>
  <c r="W25" i="6"/>
  <c r="V25" i="6"/>
  <c r="X25" i="6" s="1"/>
  <c r="W23" i="6"/>
  <c r="W18" i="6"/>
  <c r="V18" i="6"/>
  <c r="W17" i="6"/>
  <c r="W52" i="6"/>
  <c r="E4" i="6"/>
  <c r="R56" i="6" s="1"/>
  <c r="B9" i="1"/>
  <c r="X44" i="6" l="1"/>
  <c r="X18" i="6"/>
  <c r="V20" i="6"/>
  <c r="V26" i="6"/>
  <c r="X26" i="6" s="1"/>
  <c r="V33" i="6"/>
  <c r="V40" i="6"/>
  <c r="V46" i="6"/>
  <c r="V53" i="6"/>
  <c r="X53" i="6" s="1"/>
  <c r="W14" i="6"/>
  <c r="W20" i="6"/>
  <c r="W26" i="6"/>
  <c r="W33" i="6"/>
  <c r="W40" i="6"/>
  <c r="W46" i="6"/>
  <c r="W53" i="6"/>
  <c r="X15" i="6"/>
  <c r="V21" i="6"/>
  <c r="W28" i="6"/>
  <c r="W35" i="6"/>
  <c r="V41" i="6"/>
  <c r="V47" i="6"/>
  <c r="X47" i="6" s="1"/>
  <c r="U14" i="6"/>
  <c r="W15" i="6"/>
  <c r="W22" i="6"/>
  <c r="V29" i="6"/>
  <c r="X29" i="6" s="1"/>
  <c r="V36" i="6"/>
  <c r="W42" i="6"/>
  <c r="W47" i="6"/>
  <c r="V17" i="6"/>
  <c r="X17" i="6" s="1"/>
  <c r="V23" i="6"/>
  <c r="X23" i="6" s="1"/>
  <c r="W29" i="6"/>
  <c r="W36" i="6"/>
  <c r="V43" i="6"/>
  <c r="X43" i="6" s="1"/>
  <c r="W49" i="6"/>
  <c r="X39" i="6"/>
  <c r="V16" i="6"/>
  <c r="W21" i="6"/>
  <c r="V24" i="6"/>
  <c r="V27" i="6"/>
  <c r="W30" i="6"/>
  <c r="X30" i="6" s="1"/>
  <c r="V34" i="6"/>
  <c r="W37" i="6"/>
  <c r="X37" i="6" s="1"/>
  <c r="W41" i="6"/>
  <c r="V48" i="6"/>
  <c r="W51" i="6"/>
  <c r="X51" i="6" s="1"/>
  <c r="W16" i="6"/>
  <c r="V19" i="6"/>
  <c r="W24" i="6"/>
  <c r="W27" i="6"/>
  <c r="V31" i="6"/>
  <c r="W34" i="6"/>
  <c r="V38" i="6"/>
  <c r="V45" i="6"/>
  <c r="X45" i="6" s="1"/>
  <c r="W48" i="6"/>
  <c r="V52" i="6"/>
  <c r="X52" i="6" s="1"/>
  <c r="X50" i="6"/>
  <c r="V14" i="6"/>
  <c r="W19" i="6"/>
  <c r="V22" i="6"/>
  <c r="V28" i="6"/>
  <c r="W31" i="6"/>
  <c r="V35" i="6"/>
  <c r="W38" i="6"/>
  <c r="V42" i="6"/>
  <c r="X42" i="6" s="1"/>
  <c r="W45" i="6"/>
  <c r="V49" i="6"/>
  <c r="R20" i="6"/>
  <c r="Q21" i="6"/>
  <c r="S21" i="6" s="1"/>
  <c r="R32" i="6"/>
  <c r="Q37" i="6"/>
  <c r="Q43" i="6"/>
  <c r="R49" i="6"/>
  <c r="R50" i="6"/>
  <c r="Q60" i="6"/>
  <c r="Q56" i="6"/>
  <c r="R14" i="6"/>
  <c r="R21" i="6"/>
  <c r="Q22" i="6"/>
  <c r="S22" i="6" s="1"/>
  <c r="Q31" i="6"/>
  <c r="Q36" i="6"/>
  <c r="R37" i="6"/>
  <c r="Q41" i="6"/>
  <c r="Q42" i="6"/>
  <c r="R43" i="6"/>
  <c r="Q48" i="6"/>
  <c r="R63" i="6"/>
  <c r="R59" i="6"/>
  <c r="R55" i="6"/>
  <c r="R31" i="6"/>
  <c r="R42" i="6"/>
  <c r="R48" i="6"/>
  <c r="Q63" i="6"/>
  <c r="Q59" i="6"/>
  <c r="Q55" i="6"/>
  <c r="Q14" i="6"/>
  <c r="R36" i="6"/>
  <c r="R15" i="6"/>
  <c r="Q16" i="6"/>
  <c r="R23" i="6"/>
  <c r="Q24" i="6"/>
  <c r="R30" i="6"/>
  <c r="Q35" i="6"/>
  <c r="S35" i="6" s="1"/>
  <c r="Q40" i="6"/>
  <c r="Q47" i="6"/>
  <c r="Q53" i="6"/>
  <c r="R62" i="6"/>
  <c r="R58" i="6"/>
  <c r="S58" i="6" s="1"/>
  <c r="R54" i="6"/>
  <c r="R16" i="6"/>
  <c r="Q17" i="6"/>
  <c r="R24" i="6"/>
  <c r="Q25" i="6"/>
  <c r="Q26" i="6"/>
  <c r="Q29" i="6"/>
  <c r="R35" i="6"/>
  <c r="R40" i="6"/>
  <c r="Q46" i="6"/>
  <c r="R47" i="6"/>
  <c r="Q52" i="6"/>
  <c r="R53" i="6"/>
  <c r="Q62" i="6"/>
  <c r="Q58" i="6"/>
  <c r="Q54" i="6"/>
  <c r="R22" i="6"/>
  <c r="Q30" i="6"/>
  <c r="S30" i="6" s="1"/>
  <c r="R17" i="6"/>
  <c r="Q18" i="6"/>
  <c r="R25" i="6"/>
  <c r="R26" i="6"/>
  <c r="S26" i="6" s="1"/>
  <c r="Q27" i="6"/>
  <c r="Q28" i="6"/>
  <c r="R29" i="6"/>
  <c r="S29" i="6" s="1"/>
  <c r="Q33" i="6"/>
  <c r="S33" i="6" s="1"/>
  <c r="Q34" i="6"/>
  <c r="S34" i="6" s="1"/>
  <c r="Q39" i="6"/>
  <c r="Q45" i="6"/>
  <c r="R46" i="6"/>
  <c r="R52" i="6"/>
  <c r="R61" i="6"/>
  <c r="S61" i="6" s="1"/>
  <c r="R57" i="6"/>
  <c r="Q15" i="6"/>
  <c r="R18" i="6"/>
  <c r="Q19" i="6"/>
  <c r="R27" i="6"/>
  <c r="R28" i="6"/>
  <c r="R33" i="6"/>
  <c r="R34" i="6"/>
  <c r="Q38" i="6"/>
  <c r="R39" i="6"/>
  <c r="Q44" i="6"/>
  <c r="S44" i="6" s="1"/>
  <c r="R45" i="6"/>
  <c r="Q51" i="6"/>
  <c r="P14" i="6"/>
  <c r="Q61" i="6"/>
  <c r="Q57" i="6"/>
  <c r="Q23" i="6"/>
  <c r="S23" i="6" s="1"/>
  <c r="R41" i="6"/>
  <c r="R19" i="6"/>
  <c r="Q20" i="6"/>
  <c r="Q32" i="6"/>
  <c r="R38" i="6"/>
  <c r="R44" i="6"/>
  <c r="Q49" i="6"/>
  <c r="Q50" i="6"/>
  <c r="R51" i="6"/>
  <c r="R60" i="6"/>
  <c r="S56" i="6"/>
  <c r="E3" i="6"/>
  <c r="B10" i="1"/>
  <c r="B16" i="3"/>
  <c r="X33" i="6" l="1"/>
  <c r="X41" i="6"/>
  <c r="X36" i="6"/>
  <c r="X46" i="6"/>
  <c r="X35" i="6"/>
  <c r="X40" i="6"/>
  <c r="S59" i="6"/>
  <c r="S17" i="6"/>
  <c r="S45" i="6"/>
  <c r="S43" i="6"/>
  <c r="S48" i="6"/>
  <c r="S42" i="6"/>
  <c r="S53" i="6"/>
  <c r="S37" i="6"/>
  <c r="S32" i="6"/>
  <c r="S27" i="6"/>
  <c r="S25" i="6"/>
  <c r="S47" i="6"/>
  <c r="S55" i="6"/>
  <c r="S36" i="6"/>
  <c r="S51" i="6"/>
  <c r="S20" i="6"/>
  <c r="S19" i="6"/>
  <c r="S39" i="6"/>
  <c r="S18" i="6"/>
  <c r="S52" i="6"/>
  <c r="S40" i="6"/>
  <c r="S14" i="6"/>
  <c r="S15" i="6"/>
  <c r="S49" i="6"/>
  <c r="S50" i="6"/>
  <c r="S57" i="6"/>
  <c r="X24" i="6"/>
  <c r="X28" i="6"/>
  <c r="X38" i="6"/>
  <c r="X21" i="6"/>
  <c r="X22" i="6"/>
  <c r="X34" i="6"/>
  <c r="X48" i="6"/>
  <c r="X16" i="6"/>
  <c r="X49" i="6"/>
  <c r="X31" i="6"/>
  <c r="X14" i="6"/>
  <c r="X20" i="6"/>
  <c r="X19" i="6"/>
  <c r="X27" i="6"/>
  <c r="G24" i="6"/>
  <c r="H23" i="6"/>
  <c r="G16" i="6"/>
  <c r="H18" i="6"/>
  <c r="G23" i="6"/>
  <c r="H22" i="6"/>
  <c r="G15" i="6"/>
  <c r="G22" i="6"/>
  <c r="H21" i="6"/>
  <c r="H27" i="6"/>
  <c r="G19" i="6"/>
  <c r="G21" i="6"/>
  <c r="H20" i="6"/>
  <c r="G20" i="6"/>
  <c r="H19" i="6"/>
  <c r="H28" i="6"/>
  <c r="I14" i="6"/>
  <c r="G28" i="6"/>
  <c r="G27" i="6"/>
  <c r="H26" i="6"/>
  <c r="H25" i="6"/>
  <c r="G18" i="6"/>
  <c r="H17" i="6"/>
  <c r="G26" i="6"/>
  <c r="G25" i="6"/>
  <c r="I25" i="6" s="1"/>
  <c r="H24" i="6"/>
  <c r="G17" i="6"/>
  <c r="H16" i="6"/>
  <c r="S31" i="6"/>
  <c r="S46" i="6"/>
  <c r="S38" i="6"/>
  <c r="S54" i="6"/>
  <c r="S24" i="6"/>
  <c r="S63" i="6"/>
  <c r="S28" i="6"/>
  <c r="C20" i="1"/>
  <c r="L48" i="6"/>
  <c r="M42" i="6"/>
  <c r="L41" i="6"/>
  <c r="M37" i="6"/>
  <c r="L36" i="6"/>
  <c r="M31" i="6"/>
  <c r="L22" i="6"/>
  <c r="M21" i="6"/>
  <c r="L29" i="6"/>
  <c r="M49" i="6"/>
  <c r="M43" i="6"/>
  <c r="L42" i="6"/>
  <c r="L37" i="6"/>
  <c r="N37" i="6" s="1"/>
  <c r="M32" i="6"/>
  <c r="L31" i="6"/>
  <c r="L21" i="6"/>
  <c r="M20" i="6"/>
  <c r="M50" i="6"/>
  <c r="L49" i="6"/>
  <c r="M44" i="6"/>
  <c r="L43" i="6"/>
  <c r="N43" i="6" s="1"/>
  <c r="M38" i="6"/>
  <c r="L32" i="6"/>
  <c r="L20" i="6"/>
  <c r="M19" i="6"/>
  <c r="L34" i="6"/>
  <c r="L25" i="6"/>
  <c r="M14" i="6"/>
  <c r="M51" i="6"/>
  <c r="L50" i="6"/>
  <c r="M45" i="6"/>
  <c r="L44" i="6"/>
  <c r="L38" i="6"/>
  <c r="M33" i="6"/>
  <c r="M28" i="6"/>
  <c r="M27" i="6"/>
  <c r="L19" i="6"/>
  <c r="M18" i="6"/>
  <c r="L14" i="6"/>
  <c r="M52" i="6"/>
  <c r="L51" i="6"/>
  <c r="M46" i="6"/>
  <c r="L45" i="6"/>
  <c r="M39" i="6"/>
  <c r="M34" i="6"/>
  <c r="L33" i="6"/>
  <c r="M29" i="6"/>
  <c r="L28" i="6"/>
  <c r="L27" i="6"/>
  <c r="M26" i="6"/>
  <c r="M25" i="6"/>
  <c r="N25" i="6" s="1"/>
  <c r="L18" i="6"/>
  <c r="M17" i="6"/>
  <c r="M24" i="6"/>
  <c r="M16" i="6"/>
  <c r="K14" i="6"/>
  <c r="M53" i="6"/>
  <c r="L52" i="6"/>
  <c r="L46" i="6"/>
  <c r="M40" i="6"/>
  <c r="L39" i="6"/>
  <c r="N39" i="6" s="1"/>
  <c r="M35" i="6"/>
  <c r="L26" i="6"/>
  <c r="L17" i="6"/>
  <c r="L53" i="6"/>
  <c r="M47" i="6"/>
  <c r="L40" i="6"/>
  <c r="L35" i="6"/>
  <c r="M30" i="6"/>
  <c r="L24" i="6"/>
  <c r="N24" i="6" s="1"/>
  <c r="M23" i="6"/>
  <c r="L16" i="6"/>
  <c r="N16" i="6" s="1"/>
  <c r="M15" i="6"/>
  <c r="M48" i="6"/>
  <c r="L47" i="6"/>
  <c r="M41" i="6"/>
  <c r="M36" i="6"/>
  <c r="L30" i="6"/>
  <c r="L23" i="6"/>
  <c r="M22" i="6"/>
  <c r="L15" i="6"/>
  <c r="S62" i="6"/>
  <c r="S16" i="6"/>
  <c r="S41" i="6"/>
  <c r="S60" i="6"/>
  <c r="X66" i="6" l="1"/>
  <c r="S64" i="6"/>
  <c r="N20" i="6"/>
  <c r="N30" i="6"/>
  <c r="N35" i="6"/>
  <c r="N33" i="6"/>
  <c r="N50" i="6"/>
  <c r="I28" i="6"/>
  <c r="N42" i="6"/>
  <c r="N51" i="6"/>
  <c r="N38" i="6"/>
  <c r="N19" i="6"/>
  <c r="N28" i="6"/>
  <c r="N44" i="6"/>
  <c r="I23" i="6"/>
  <c r="N26" i="6"/>
  <c r="N14" i="6"/>
  <c r="N31" i="6"/>
  <c r="I17" i="6"/>
  <c r="I27" i="6"/>
  <c r="I19" i="6"/>
  <c r="N23" i="6"/>
  <c r="N53" i="6"/>
  <c r="N47" i="6"/>
  <c r="N46" i="6"/>
  <c r="N49" i="6"/>
  <c r="B4" i="2"/>
  <c r="N29" i="6"/>
  <c r="N21" i="6"/>
  <c r="I21" i="6"/>
  <c r="N22" i="6"/>
  <c r="N32" i="6"/>
  <c r="N17" i="6"/>
  <c r="N36" i="6"/>
  <c r="I16" i="6"/>
  <c r="N40" i="6"/>
  <c r="N18" i="6"/>
  <c r="N27" i="6"/>
  <c r="I26" i="6"/>
  <c r="I22" i="6"/>
  <c r="N45" i="6"/>
  <c r="N41" i="6"/>
  <c r="I24" i="6"/>
  <c r="N15" i="6"/>
  <c r="N48" i="6"/>
  <c r="N52" i="6"/>
  <c r="N34" i="6"/>
  <c r="I18" i="6"/>
  <c r="I20" i="6"/>
  <c r="I15" i="6"/>
  <c r="I64" i="6" l="1"/>
  <c r="N64" i="6"/>
  <c r="S66" i="6" l="1"/>
  <c r="B3" i="2"/>
  <c r="B5" i="2" s="1"/>
  <c r="B9" i="2" s="1"/>
  <c r="B26" i="2" l="1"/>
  <c r="B25" i="2"/>
  <c r="C9" i="2"/>
  <c r="C26" i="2" l="1"/>
  <c r="C25" i="2"/>
</calcChain>
</file>

<file path=xl/sharedStrings.xml><?xml version="1.0" encoding="utf-8"?>
<sst xmlns="http://schemas.openxmlformats.org/spreadsheetml/2006/main" count="255" uniqueCount="154">
  <si>
    <t>Public capital costs</t>
  </si>
  <si>
    <t>Private capital costs</t>
  </si>
  <si>
    <t>Total capital costs</t>
  </si>
  <si>
    <t>Public / Total %</t>
  </si>
  <si>
    <t>Private / Total %</t>
  </si>
  <si>
    <t>Worth Street Project (Project ID: HWMWTCA7E)</t>
  </si>
  <si>
    <t>Traditional Trench Method</t>
  </si>
  <si>
    <t>Total Debt Service for Original Construction Costs</t>
  </si>
  <si>
    <t>City</t>
  </si>
  <si>
    <t>Utilities</t>
  </si>
  <si>
    <t>DOT Resurfacing Costs (100 years)</t>
  </si>
  <si>
    <t>Private Utility Trenching Costs (100 years)</t>
  </si>
  <si>
    <t>Utilidor</t>
  </si>
  <si>
    <t>Total Debt Service for Utilidor</t>
  </si>
  <si>
    <t>TOTAL</t>
  </si>
  <si>
    <t xml:space="preserve">O+M @10% construction costs </t>
  </si>
  <si>
    <t>Traditional Trench Method / Utilidor Method</t>
  </si>
  <si>
    <t>LCC future valued the 2010 costs for both the City and the utilities by 4% to 2020</t>
  </si>
  <si>
    <t>% of total cost (attributable to the DOT road component)</t>
  </si>
  <si>
    <t>% of total cost (attributable the DEP  water main component)</t>
  </si>
  <si>
    <t>% of total cost (attributable the DEP sewer main component)</t>
  </si>
  <si>
    <t>both financed with NYWFA debt</t>
  </si>
  <si>
    <t>recent city general obligation debt</t>
  </si>
  <si>
    <t>maturity</t>
  </si>
  <si>
    <t>rate</t>
  </si>
  <si>
    <t>The first one can be in 2030</t>
  </si>
  <si>
    <t>DOT roadway resurfacing frequency: every # years</t>
  </si>
  <si>
    <t xml:space="preserve">Didn't include: </t>
  </si>
  <si>
    <t>Debt service for road resurfacing (maturity 5 years)</t>
  </si>
  <si>
    <t>Number of total permits</t>
  </si>
  <si>
    <t>Number of street excavation permits per year</t>
  </si>
  <si>
    <t>Number of permits results in actual street cuts (1 of 3)</t>
  </si>
  <si>
    <t>Growth rate of actual street cuts</t>
  </si>
  <si>
    <t>after first 25 years</t>
  </si>
  <si>
    <t>Private Utilities</t>
  </si>
  <si>
    <t>ConEd (as a proxy for all)</t>
  </si>
  <si>
    <t>average percentage change during the 2012-2020 period applied step-wise to each eight-year period</t>
  </si>
  <si>
    <t>most recent Con Edison bond</t>
  </si>
  <si>
    <t>may need update</t>
  </si>
  <si>
    <t>Utilidor Method Cost</t>
  </si>
  <si>
    <t>Utilidor cost is # times the cost of the future valued case study project cost</t>
  </si>
  <si>
    <t>2012-2020 Con Edison costs for Staten Island as a proxy for costs for case study project</t>
  </si>
  <si>
    <t>years</t>
  </si>
  <si>
    <t>interest rate</t>
  </si>
  <si>
    <t>annual maintenance cost = % of construction cost (future valued)</t>
  </si>
  <si>
    <t>Construction Duration:</t>
  </si>
  <si>
    <t>Location:</t>
  </si>
  <si>
    <t>on Worth Street from Hudson Street to Park Row</t>
  </si>
  <si>
    <t>Note 1: PV rate is 4.0%; Anticipate 3% to 4% inflation for 2020 with the potential to go higher in specific Infrastructure markets, such as pipeline or highway; local roads are not highways with bridges, so going with  4% per https://edzarenski.com/2020/01/28/construction-inflation-2020/ 03-22-21 8:10 p.m.</t>
  </si>
  <si>
    <t>From 2014 to 2016</t>
  </si>
  <si>
    <t>2016 Cost</t>
  </si>
  <si>
    <t>*2</t>
  </si>
  <si>
    <t xml:space="preserve">City debt </t>
  </si>
  <si>
    <t xml:space="preserve">Private debt </t>
  </si>
  <si>
    <t>Use current OS and con ed debt rates</t>
  </si>
  <si>
    <t>GO (DOT) (10% of total)</t>
  </si>
  <si>
    <t>WFA (DEP) sewer (50% of 90% total)</t>
  </si>
  <si>
    <t>WFA (DEP) water (50% of 90% total)</t>
  </si>
  <si>
    <t>Note 2:  Cost data from private utility use of final overun/ underrun contract record</t>
  </si>
  <si>
    <t>Note 3: Water infrastructure: The average age of a NYC water main is 66 years old;  about 1/3 of the system (2300 miles) is over 100 years old, which has exceeded its expected useful life; and 90% of water main breaks over the past 10 years are on water mains installed prior to 1970; Sewer infrastructure: The average age of a NYC sewer is 69 years old; about 30% of the system is over 100 years old, which has exceeded its expected useful life. (DEP presentation at Clean Water 2021)</t>
  </si>
  <si>
    <t>PPUs</t>
  </si>
  <si>
    <r>
      <t xml:space="preserve">DEP contracts – sewers, water mains – funded from DEP budget codes would be PPUs 15, 20 &amp; </t>
    </r>
    <r>
      <rPr>
        <sz val="11"/>
        <color rgb="FFFF0000"/>
        <rFont val="Aptos Narrow"/>
        <family val="2"/>
        <scheme val="minor"/>
      </rPr>
      <t>40</t>
    </r>
    <r>
      <rPr>
        <sz val="12"/>
        <color theme="1"/>
        <rFont val="Aptos Narrow"/>
        <family val="2"/>
        <scheme val="minor"/>
      </rPr>
      <t xml:space="preserve"> typically for sewer or PPUs 15 to </t>
    </r>
    <r>
      <rPr>
        <sz val="11"/>
        <color rgb="FFFF0000"/>
        <rFont val="Aptos Narrow"/>
        <family val="2"/>
        <scheme val="minor"/>
      </rPr>
      <t>50</t>
    </r>
    <r>
      <rPr>
        <sz val="12"/>
        <color theme="1"/>
        <rFont val="Aptos Narrow"/>
        <family val="2"/>
        <scheme val="minor"/>
      </rPr>
      <t xml:space="preserve"> for water mains</t>
    </r>
  </si>
  <si>
    <r>
      <t xml:space="preserve">DOT contracts – street resurfacing is PPU </t>
    </r>
    <r>
      <rPr>
        <sz val="11"/>
        <color rgb="FFFF0000"/>
        <rFont val="Aptos Narrow"/>
        <family val="2"/>
        <scheme val="minor"/>
      </rPr>
      <t>05</t>
    </r>
    <r>
      <rPr>
        <sz val="12"/>
        <color theme="1"/>
        <rFont val="Aptos Narrow"/>
        <family val="2"/>
        <scheme val="minor"/>
      </rPr>
      <t xml:space="preserve">, street reconstruction is PPU </t>
    </r>
    <r>
      <rPr>
        <sz val="11"/>
        <color rgb="FFFF0000"/>
        <rFont val="Aptos Narrow"/>
        <family val="2"/>
        <scheme val="minor"/>
      </rPr>
      <t xml:space="preserve">15 </t>
    </r>
    <r>
      <rPr>
        <sz val="12"/>
        <color theme="1"/>
        <rFont val="Aptos Narrow"/>
        <family val="2"/>
        <scheme val="minor"/>
      </rPr>
      <t xml:space="preserve">  </t>
    </r>
  </si>
  <si>
    <t>Con Ed</t>
  </si>
  <si>
    <t>Assume for roadway reconstruction projects: 90% = water and sewer main replacement costs, with sewer PPU = 40 years and water PPU = 50 years and 10% = street reconstruction, with PPU = 15</t>
  </si>
  <si>
    <t>Roadway resurfacing FV, debt service and then PV</t>
  </si>
  <si>
    <t>Permit work assuming con ed prices and PV that</t>
  </si>
  <si>
    <t>Note 4: NYC debt service: City funds construction committed costs out of general fund and then reimburses general fund from bond proceeds--did not lag for bond issuance, so PV would be lower</t>
  </si>
  <si>
    <t>private could do 50 years</t>
  </si>
  <si>
    <t>private financed interest rate should be higher than public</t>
  </si>
  <si>
    <t>FV Costs to 2024
(Note1)</t>
  </si>
  <si>
    <t>1 out of 3 of total permits would be used</t>
  </si>
  <si>
    <t>Utilidor for Worth Street Project (Project ID: HWMWTCA7E)</t>
  </si>
  <si>
    <t>Useful life</t>
  </si>
  <si>
    <t>Interest rate</t>
  </si>
  <si>
    <r>
      <t xml:space="preserve">Note 1:  It has been estimated that "[p]lacing utility lines in a tunnel </t>
    </r>
    <r>
      <rPr>
        <b/>
        <sz val="11"/>
        <color theme="1"/>
        <rFont val="Aptos Narrow"/>
        <family val="2"/>
        <scheme val="minor"/>
      </rPr>
      <t>approximately doubles the initial capital investmen</t>
    </r>
    <r>
      <rPr>
        <sz val="12"/>
        <color theme="1"/>
        <rFont val="Aptos Narrow"/>
        <family val="2"/>
        <scheme val="minor"/>
      </rPr>
      <t>t" as compared to the trenching method. (Julian Canto-Perello (C-P) and Jorge Curiel-Esparza (C-E), "Assessing Governance Issues of Urban Utility Tunnels" (Assessing), Tunneling and Underground Space Technology, Vol. 33 (2013), pp. 82-87  https://riunet.upv.es accessed 12/08/19 @ 10:12 p.m., p. 5. ) The trenching method—or the bottom-up method of cut-and-cover tunneling—that is the standard for the City's roadway reconstruction projects has the lowest initial cost by far among all other methods due to, "the ability [of contractors] to use specialized machines for rapid excavation and the low cost of this type of excavation."  (Julian Canto-Perello (C-P) and Jorge Curiel-Esparza (C-E), "An Analysis of Utility Tunnel Viability in Urban Areas" (Analysis), Civil Engineering and Environmental Systems, Vol. 23, No. 1, March 2006, p. 13.)  This apparent initial low cost, however, is increased "in congested areas where large numbers of underground utility lines may already be installed [and] considerable care [with associated increased costs] must be exercised to ensure continuity of service and prevent damage to these utilities during excavation."  (</t>
    </r>
    <r>
      <rPr>
        <i/>
        <sz val="11"/>
        <color theme="1"/>
        <rFont val="Aptos Narrow"/>
        <family val="2"/>
        <scheme val="minor"/>
      </rPr>
      <t>Idem</t>
    </r>
    <r>
      <rPr>
        <sz val="12"/>
        <color theme="1"/>
        <rFont val="Aptos Narrow"/>
        <family val="2"/>
        <scheme val="minor"/>
      </rPr>
      <t xml:space="preserve">)
</t>
    </r>
  </si>
  <si>
    <t xml:space="preserve">Note 2:  For 63-20, WFA or new state "smart city" authority, assume no PPUs and 50 years useful life for financing purposes based on PPU = 50 for water mains. </t>
  </si>
  <si>
    <t>Principal</t>
  </si>
  <si>
    <t>Interest</t>
  </si>
  <si>
    <t>Total</t>
  </si>
  <si>
    <t>Rate</t>
  </si>
  <si>
    <t>Note 1</t>
  </si>
  <si>
    <t>Note 2</t>
  </si>
  <si>
    <t>Note 1: 2036 maturity for City GO per Fiscal 2021, Series F</t>
  </si>
  <si>
    <t>Note 2: 2051 maturity for WFA per Fiscal 2021, Series CC</t>
  </si>
  <si>
    <t>Note 3:  Assumes ConEd interest rates for all private costs; Series 2019 B bonds</t>
  </si>
  <si>
    <t>GO (DOT)</t>
  </si>
  <si>
    <t>WFA (DEP)</t>
  </si>
  <si>
    <t>Not 50 yrs--40 years so</t>
  </si>
  <si>
    <t>DOT experiences a net benefit in terms of reducing the lifecycle cost of maintaining the streets. In the current practice, Worth is repaved every 【13 years】, but in the model, it’s repaved every 【14 years】.</t>
  </si>
  <si>
    <t>In terms of subsequent roadwork, the City issued 【 681 permits】 after the original completion of the Worth Street project. These are "street opening" permits that authorize cutting into the pavement by major utilities and also to plumbers and other services and organizations that must obtain permits before cutting into the street. The Beekman project had the third-largest number of permits among  the case studies.</t>
  </si>
  <si>
    <t xml:space="preserve">$156.63/foot average cost/trench foot in Bronx as of 06-01-17 </t>
  </si>
  <si>
    <t>$378/foot average cost/trench foot in Staten Island as of 06-01-20; reflects current market costs and probably understates costs in boroughs (e.g., Manhattan and Brooklyn) not reported on</t>
  </si>
  <si>
    <t>Per John Speroni $160,000/lane mile = road resurfacing cost</t>
  </si>
  <si>
    <t>Total lane mile</t>
  </si>
  <si>
    <t>Total feet Worth Street</t>
  </si>
  <si>
    <t>Total cost</t>
  </si>
  <si>
    <t>Assumptions: Using ConEd cost data as proxy for all private utility cost data</t>
  </si>
  <si>
    <t>$378 average cost in Staten Island as of 06-01-21 (will be understated compared for costs in Manhattan and parts of Brooklyn for which no data); assume x% cost increase each year based on prior increases</t>
  </si>
  <si>
    <t>From DOT: Total 604 utility street cuts permits from 1991 to 2024;</t>
  </si>
  <si>
    <t>18.3 utility cut permits per year for the project area</t>
  </si>
  <si>
    <t xml:space="preserve"> We would advise a flat growth rate (students assumed 2.77% growth rate); with DoITT's new franchise, assume .05% growth rate for 25 years then flat</t>
  </si>
  <si>
    <t>The student team assumed 1/3 of permits result in actual cuts. This guess is as good as any. Our recent data shows that over 0.5% of recent street cut permits were actually renewals of prior permits, so the number of permits resulting in cuts is somewhere below 50%. One third is a fair estimate.</t>
  </si>
  <si>
    <t>1/3 issued</t>
  </si>
  <si>
    <t>Length of excavation</t>
  </si>
  <si>
    <t>Average cost/foot; increases 8% every 10 years</t>
  </si>
  <si>
    <t>Costs</t>
  </si>
  <si>
    <t>Will not calculate debt service for 100 years</t>
  </si>
  <si>
    <t>post-construction operation and maintenance, which the team assumed to be 10% of original construction costs.</t>
  </si>
  <si>
    <t>Traditional Trench Method Total</t>
  </si>
  <si>
    <t>Utilidor Total</t>
  </si>
  <si>
    <t>FV</t>
  </si>
  <si>
    <t>Data from google map</t>
  </si>
  <si>
    <t>data not updated</t>
  </si>
  <si>
    <t>future cost for roadway resurfacing: $ per lane mile</t>
  </si>
  <si>
    <t>From 1991-2024</t>
  </si>
  <si>
    <t>To do FV all costs and then do debt service and PV them</t>
  </si>
  <si>
    <t>PPU</t>
  </si>
  <si>
    <t>Amount</t>
  </si>
  <si>
    <t>Every 13 years</t>
  </si>
  <si>
    <t>FV From 2024</t>
  </si>
  <si>
    <t>The project took place from 2014 to 2016, on Worth Street from Hudson Street to Park Row. One of our foundational assumptions is the expected number of street openings per year. This number, even in the years after a full capital reconstruction, varies significantly. We have been advised by the Utilidor Working Group that about ⅓ of street opening permits issued lead to a street cut. We calculated this by taking the average of the past 5 years of street opening permits issued on the project area. Year to year, this increased at a rate of 2.77 percent. In Manhattan overall, the rate of increase in street opening permits was about 1.5%.</t>
  </si>
  <si>
    <t>Per John Speroni: $160,000*lane mile = road resurfacing cost</t>
  </si>
  <si>
    <t>Cut permits with .05% growth for first 25 years then flat</t>
  </si>
  <si>
    <t>PV</t>
  </si>
  <si>
    <t>Discount Rate</t>
  </si>
  <si>
    <t>Traditional Trench</t>
  </si>
  <si>
    <t>T/U</t>
  </si>
  <si>
    <t>-PV</t>
  </si>
  <si>
    <t>% of Street Cuts</t>
  </si>
  <si>
    <t>1/5</t>
  </si>
  <si>
    <t>1/4</t>
  </si>
  <si>
    <t>1/3</t>
  </si>
  <si>
    <t>1/2</t>
  </si>
  <si>
    <t>Cost of construction (%)</t>
  </si>
  <si>
    <t>Trenching cost per foot</t>
  </si>
  <si>
    <t>10% of original utilidor construction cost</t>
  </si>
  <si>
    <t>After first 40 years</t>
  </si>
  <si>
    <t xml:space="preserve">Total debt service for O+M </t>
  </si>
  <si>
    <t xml:space="preserve">con ed stands for all </t>
  </si>
  <si>
    <t>We can do ppu 40 years for NYC</t>
  </si>
  <si>
    <t>2X Estimation</t>
  </si>
  <si>
    <t>3X Estimation</t>
  </si>
  <si>
    <t>*3</t>
  </si>
  <si>
    <t>Utilidor (2X Cost Estimation)</t>
  </si>
  <si>
    <t>Utilidor (3X Cost Estimation)</t>
  </si>
  <si>
    <t>Traditional Trench Method / Utilidor Method (2X)</t>
  </si>
  <si>
    <t>Traditional Trench Method / Utilidor Method (3X)</t>
  </si>
  <si>
    <t>Breakeven Calculation</t>
  </si>
  <si>
    <t>FV of 10%</t>
  </si>
  <si>
    <t xml:space="preserve">OM as 10% </t>
  </si>
  <si>
    <t>Total Traditional Method</t>
  </si>
  <si>
    <t>Total Utility Method</t>
  </si>
  <si>
    <t>Calculated multiplier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</si>
</sst>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409]* #,##0.00_);_([$$-409]* \(#,##0.00\);_([$$-409]* &quot;-&quot;??_);_(@_)"/>
    <numFmt numFmtId="165" formatCode="_(* #,##0_);_(* \(#,##0\);_(* &quot;-&quot;??_);_(@_)"/>
    <numFmt numFmtId="166" formatCode="0.0000"/>
    <numFmt numFmtId="167" formatCode="0.0"/>
  </numFmts>
  <fonts count="12" x14ac:knownFonts="1">
    <font>
      <sz val="12"/>
      <color theme="1"/>
      <name val="Aptos Narrow"/>
      <family val="2"/>
      <scheme val="minor"/>
    </font>
    <font>
      <sz val="12"/>
      <color theme="1"/>
      <name val="Aptos Narrow"/>
      <family val="2"/>
      <scheme val="minor"/>
    </font>
    <font>
      <b/>
      <sz val="12"/>
      <color theme="1"/>
      <name val="Aptos Narrow"/>
      <scheme val="minor"/>
    </font>
    <font>
      <sz val="11"/>
      <color rgb="FFFF0000"/>
      <name val="Aptos Narrow"/>
      <family val="2"/>
      <scheme val="minor"/>
    </font>
    <font>
      <sz val="12"/>
      <color rgb="FFFF0000"/>
      <name val="Aptos Narrow"/>
      <family val="2"/>
      <scheme val="minor"/>
    </font>
    <font>
      <b/>
      <sz val="11"/>
      <color theme="1"/>
      <name val="Aptos Narrow"/>
      <family val="2"/>
      <scheme val="minor"/>
    </font>
    <font>
      <i/>
      <sz val="11"/>
      <color theme="1"/>
      <name val="Aptos Narrow"/>
      <family val="2"/>
      <scheme val="minor"/>
    </font>
    <font>
      <sz val="12"/>
      <color rgb="FF000000"/>
      <name val="Aptos Narrow"/>
      <family val="2"/>
      <scheme val="minor"/>
    </font>
    <font>
      <sz val="10"/>
      <color theme="1"/>
      <name val="Arial"/>
      <family val="2"/>
    </font>
    <font>
      <b/>
      <sz val="12"/>
      <color theme="1"/>
      <name val="Aptos Narrow"/>
    </font>
    <font>
      <sz val="12"/>
      <color theme="1"/>
      <name val="Aptos Narrow"/>
    </font>
    <font>
      <b/>
      <sz val="10"/>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2" tint="-0.249977111117893"/>
        <bgColor indexed="64"/>
      </patternFill>
    </fill>
    <fill>
      <patternFill patternType="solid">
        <fgColor rgb="FFFFFF00"/>
        <bgColor rgb="FF000000"/>
      </patternFill>
    </fill>
  </fills>
  <borders count="1">
    <border>
      <left/>
      <right/>
      <top/>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9">
    <xf numFmtId="0" fontId="0" fillId="0" borderId="0" xfId="0"/>
    <xf numFmtId="0" fontId="2" fillId="0" borderId="0" xfId="0" applyFont="1"/>
    <xf numFmtId="9" fontId="0" fillId="0" borderId="0" xfId="0" applyNumberFormat="1"/>
    <xf numFmtId="1" fontId="0" fillId="0" borderId="0" xfId="1" applyNumberFormat="1" applyFont="1"/>
    <xf numFmtId="6" fontId="0" fillId="0" borderId="0" xfId="0" applyNumberFormat="1"/>
    <xf numFmtId="10" fontId="0" fillId="0" borderId="0" xfId="0" applyNumberFormat="1"/>
    <xf numFmtId="0" fontId="0" fillId="2" borderId="0" xfId="0" applyFill="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8" fontId="0" fillId="0" borderId="0" xfId="0" applyNumberFormat="1"/>
    <xf numFmtId="0" fontId="0" fillId="0" borderId="0" xfId="0" quotePrefix="1"/>
    <xf numFmtId="164" fontId="0" fillId="0" borderId="0" xfId="0" applyNumberFormat="1"/>
    <xf numFmtId="2" fontId="0" fillId="0" borderId="0" xfId="0" applyNumberFormat="1"/>
    <xf numFmtId="164" fontId="0" fillId="0" borderId="0" xfId="2" applyNumberFormat="1" applyFont="1"/>
    <xf numFmtId="0" fontId="0" fillId="0" borderId="0" xfId="2" applyNumberFormat="1" applyFont="1"/>
    <xf numFmtId="0" fontId="0" fillId="0" borderId="0" xfId="0" applyAlignment="1">
      <alignment horizontal="left" indent="1"/>
    </xf>
    <xf numFmtId="0" fontId="1" fillId="0" borderId="0" xfId="0" applyFont="1" applyAlignment="1">
      <alignment vertical="center"/>
    </xf>
    <xf numFmtId="0" fontId="4" fillId="0" borderId="0" xfId="0" applyFont="1"/>
    <xf numFmtId="8" fontId="2" fillId="0" borderId="0" xfId="0" applyNumberFormat="1" applyFont="1"/>
    <xf numFmtId="44" fontId="0" fillId="0" borderId="0" xfId="2" applyFont="1"/>
    <xf numFmtId="9" fontId="0" fillId="0" borderId="0" xfId="1" applyFont="1"/>
    <xf numFmtId="165" fontId="0" fillId="0" borderId="0" xfId="3" applyNumberFormat="1" applyFont="1"/>
    <xf numFmtId="8" fontId="0" fillId="3" borderId="0" xfId="0" applyNumberFormat="1" applyFill="1"/>
    <xf numFmtId="10" fontId="0" fillId="0" borderId="0" xfId="1" applyNumberFormat="1" applyFont="1"/>
    <xf numFmtId="8" fontId="0" fillId="0" borderId="0" xfId="2" applyNumberFormat="1" applyFont="1"/>
    <xf numFmtId="38" fontId="0" fillId="0" borderId="0" xfId="0" applyNumberFormat="1"/>
    <xf numFmtId="0" fontId="0" fillId="0" borderId="0" xfId="0" applyAlignment="1">
      <alignment horizontal="right"/>
    </xf>
    <xf numFmtId="8" fontId="0" fillId="0" borderId="0" xfId="0" applyNumberFormat="1" applyAlignment="1">
      <alignment horizontal="right"/>
    </xf>
    <xf numFmtId="0" fontId="0" fillId="0" borderId="0" xfId="0" applyAlignment="1">
      <alignment horizontal="right" vertical="center"/>
    </xf>
    <xf numFmtId="8" fontId="0" fillId="0" borderId="0" xfId="0" applyNumberFormat="1" applyAlignment="1">
      <alignment horizontal="right"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right" wrapText="1"/>
    </xf>
    <xf numFmtId="44" fontId="0" fillId="0" borderId="0" xfId="2" applyFont="1" applyAlignment="1">
      <alignment horizontal="right"/>
    </xf>
    <xf numFmtId="8" fontId="0" fillId="3" borderId="0" xfId="0" applyNumberFormat="1" applyFill="1" applyAlignment="1">
      <alignment horizontal="right"/>
    </xf>
    <xf numFmtId="2" fontId="2" fillId="0" borderId="0" xfId="0" applyNumberFormat="1" applyFont="1"/>
    <xf numFmtId="1" fontId="0" fillId="0" borderId="0" xfId="0" applyNumberFormat="1"/>
    <xf numFmtId="44" fontId="0" fillId="0" borderId="0" xfId="0" applyNumberFormat="1"/>
    <xf numFmtId="44" fontId="0" fillId="3" borderId="0" xfId="0" applyNumberFormat="1" applyFill="1"/>
    <xf numFmtId="44" fontId="2" fillId="0" borderId="0" xfId="0" applyNumberFormat="1" applyFont="1"/>
    <xf numFmtId="0" fontId="0" fillId="4" borderId="0" xfId="0" applyFill="1" applyAlignment="1">
      <alignment wrapText="1"/>
    </xf>
    <xf numFmtId="166" fontId="0" fillId="0" borderId="0" xfId="0" applyNumberFormat="1"/>
    <xf numFmtId="167" fontId="0" fillId="0" borderId="0" xfId="0" applyNumberFormat="1"/>
    <xf numFmtId="10" fontId="0" fillId="0" borderId="0" xfId="1" applyNumberFormat="1" applyFont="1" applyFill="1"/>
    <xf numFmtId="8" fontId="2" fillId="0" borderId="0" xfId="2" applyNumberFormat="1" applyFont="1"/>
    <xf numFmtId="44" fontId="7" fillId="0" borderId="0" xfId="0" applyNumberFormat="1" applyFont="1"/>
    <xf numFmtId="44" fontId="7" fillId="5" borderId="0" xfId="0" applyNumberFormat="1" applyFont="1" applyFill="1"/>
    <xf numFmtId="0" fontId="8" fillId="0" borderId="0" xfId="0" applyFont="1"/>
    <xf numFmtId="9" fontId="8" fillId="0" borderId="0" xfId="0" applyNumberFormat="1" applyFont="1"/>
    <xf numFmtId="8" fontId="9" fillId="0" borderId="0" xfId="0" applyNumberFormat="1" applyFont="1"/>
    <xf numFmtId="8" fontId="10" fillId="0" borderId="0" xfId="0" applyNumberFormat="1" applyFont="1"/>
    <xf numFmtId="2" fontId="8" fillId="0" borderId="0" xfId="0" applyNumberFormat="1" applyFont="1"/>
    <xf numFmtId="2" fontId="11" fillId="0" borderId="0" xfId="0" applyNumberFormat="1" applyFont="1"/>
    <xf numFmtId="0" fontId="8" fillId="0" borderId="0" xfId="0" quotePrefix="1" applyFont="1"/>
    <xf numFmtId="7" fontId="10" fillId="0" borderId="0" xfId="0" applyNumberFormat="1" applyFont="1"/>
    <xf numFmtId="49" fontId="8" fillId="0" borderId="0" xfId="0" applyNumberFormat="1" applyFont="1"/>
    <xf numFmtId="0" fontId="2" fillId="0" borderId="0" xfId="0" applyFont="1" applyAlignment="1">
      <alignment horizontal="center" vertical="center"/>
    </xf>
    <xf numFmtId="0" fontId="0" fillId="0" borderId="0" xfId="0" applyAlignment="1">
      <alignment horizontal="left" wrapText="1"/>
    </xf>
  </cellXfs>
  <cellStyles count="4">
    <cellStyle name="Comma" xfId="3" builtinId="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Discount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Sensitivity!$H$3</c:f>
              <c:strCache>
                <c:ptCount val="1"/>
                <c:pt idx="0">
                  <c:v>Traditional Trench</c:v>
                </c:pt>
              </c:strCache>
            </c:strRef>
          </c:tx>
          <c:spPr>
            <a:ln w="28575" cap="rnd">
              <a:solidFill>
                <a:schemeClr val="accent1"/>
              </a:solidFill>
              <a:round/>
            </a:ln>
            <a:effectLst/>
          </c:spPr>
          <c:marker>
            <c:symbol val="none"/>
          </c:marker>
          <c:cat>
            <c:numRef>
              <c:f>Sensitivity!$B$4:$B$13</c:f>
              <c:numCache>
                <c:formatCode>0%</c:formatCode>
                <c:ptCount val="10"/>
                <c:pt idx="0">
                  <c:v>0.01</c:v>
                </c:pt>
                <c:pt idx="1">
                  <c:v>0.02</c:v>
                </c:pt>
                <c:pt idx="2">
                  <c:v>0.03</c:v>
                </c:pt>
                <c:pt idx="3">
                  <c:v>0.04</c:v>
                </c:pt>
                <c:pt idx="4">
                  <c:v>0.05</c:v>
                </c:pt>
                <c:pt idx="5">
                  <c:v>0.06</c:v>
                </c:pt>
                <c:pt idx="6">
                  <c:v>7.0000000000000007E-2</c:v>
                </c:pt>
                <c:pt idx="7">
                  <c:v>0.08</c:v>
                </c:pt>
                <c:pt idx="8">
                  <c:v>0.09</c:v>
                </c:pt>
                <c:pt idx="9">
                  <c:v>0.1</c:v>
                </c:pt>
              </c:numCache>
            </c:numRef>
          </c:cat>
          <c:val>
            <c:numRef>
              <c:f>Sensitivity!$H$4:$H$13</c:f>
              <c:numCache>
                <c:formatCode>"$"#,##0.00_);\("$"#,##0.00\)</c:formatCode>
                <c:ptCount val="10"/>
                <c:pt idx="0">
                  <c:v>-378078851.44999999</c:v>
                </c:pt>
                <c:pt idx="1">
                  <c:v>-142606992.84999999</c:v>
                </c:pt>
                <c:pt idx="2">
                  <c:v>-54380014.460000001</c:v>
                </c:pt>
                <c:pt idx="3">
                  <c:v>-21104830.210000001</c:v>
                </c:pt>
                <c:pt idx="4">
                  <c:v>-8195299.8499999996</c:v>
                </c:pt>
                <c:pt idx="5">
                  <c:v>-3252219.4</c:v>
                </c:pt>
                <c:pt idx="6">
                  <c:v>-1318341.0900000001</c:v>
                </c:pt>
                <c:pt idx="7">
                  <c:v>-551837.9</c:v>
                </c:pt>
                <c:pt idx="8">
                  <c:v>-243093.97</c:v>
                </c:pt>
                <c:pt idx="9">
                  <c:v>-115951.15</c:v>
                </c:pt>
              </c:numCache>
            </c:numRef>
          </c:val>
          <c:smooth val="0"/>
          <c:extLst>
            <c:ext xmlns:c16="http://schemas.microsoft.com/office/drawing/2014/chart" uri="{C3380CC4-5D6E-409C-BE32-E72D297353CC}">
              <c16:uniqueId val="{00000000-1E90-104B-9A75-2F01E99B2E36}"/>
            </c:ext>
          </c:extLst>
        </c:ser>
        <c:ser>
          <c:idx val="1"/>
          <c:order val="1"/>
          <c:tx>
            <c:strRef>
              <c:f>Sensitivity!$I$3</c:f>
              <c:strCache>
                <c:ptCount val="1"/>
                <c:pt idx="0">
                  <c:v>Utilidor</c:v>
                </c:pt>
              </c:strCache>
            </c:strRef>
          </c:tx>
          <c:spPr>
            <a:ln w="28575" cap="rnd">
              <a:solidFill>
                <a:schemeClr val="accent2"/>
              </a:solidFill>
              <a:round/>
            </a:ln>
            <a:effectLst/>
          </c:spPr>
          <c:marker>
            <c:symbol val="none"/>
          </c:marker>
          <c:cat>
            <c:numRef>
              <c:f>Sensitivity!$B$4:$B$13</c:f>
              <c:numCache>
                <c:formatCode>0%</c:formatCode>
                <c:ptCount val="10"/>
                <c:pt idx="0">
                  <c:v>0.01</c:v>
                </c:pt>
                <c:pt idx="1">
                  <c:v>0.02</c:v>
                </c:pt>
                <c:pt idx="2">
                  <c:v>0.03</c:v>
                </c:pt>
                <c:pt idx="3">
                  <c:v>0.04</c:v>
                </c:pt>
                <c:pt idx="4">
                  <c:v>0.05</c:v>
                </c:pt>
                <c:pt idx="5">
                  <c:v>0.06</c:v>
                </c:pt>
                <c:pt idx="6">
                  <c:v>7.0000000000000007E-2</c:v>
                </c:pt>
                <c:pt idx="7">
                  <c:v>0.08</c:v>
                </c:pt>
                <c:pt idx="8">
                  <c:v>0.09</c:v>
                </c:pt>
                <c:pt idx="9">
                  <c:v>0.1</c:v>
                </c:pt>
              </c:numCache>
            </c:numRef>
          </c:cat>
          <c:val>
            <c:numRef>
              <c:f>Sensitivity!$I$4:$I$13</c:f>
              <c:numCache>
                <c:formatCode>"$"#,##0.00_);\("$"#,##0.00\)</c:formatCode>
                <c:ptCount val="10"/>
                <c:pt idx="0">
                  <c:v>-82841733.25</c:v>
                </c:pt>
                <c:pt idx="1">
                  <c:v>-40168748.780000001</c:v>
                </c:pt>
                <c:pt idx="2">
                  <c:v>-19374662.559999999</c:v>
                </c:pt>
                <c:pt idx="3">
                  <c:v>-9301961.8699999992</c:v>
                </c:pt>
                <c:pt idx="4">
                  <c:v>-4448757.7699999996</c:v>
                </c:pt>
                <c:pt idx="5">
                  <c:v>-2121188.2000000002</c:v>
                </c:pt>
                <c:pt idx="6">
                  <c:v>-1009148.47</c:v>
                </c:pt>
                <c:pt idx="7">
                  <c:v>-479422.73</c:v>
                </c:pt>
                <c:pt idx="8">
                  <c:v>-227617.11</c:v>
                </c:pt>
                <c:pt idx="9">
                  <c:v>-108074.86</c:v>
                </c:pt>
              </c:numCache>
            </c:numRef>
          </c:val>
          <c:smooth val="0"/>
          <c:extLst>
            <c:ext xmlns:c16="http://schemas.microsoft.com/office/drawing/2014/chart" uri="{C3380CC4-5D6E-409C-BE32-E72D297353CC}">
              <c16:uniqueId val="{00000001-1E90-104B-9A75-2F01E99B2E36}"/>
            </c:ext>
          </c:extLst>
        </c:ser>
        <c:dLbls>
          <c:showLegendKey val="0"/>
          <c:showVal val="0"/>
          <c:showCatName val="0"/>
          <c:showSerName val="0"/>
          <c:showPercent val="0"/>
          <c:showBubbleSize val="0"/>
        </c:dLbls>
        <c:smooth val="0"/>
        <c:axId val="259681503"/>
        <c:axId val="272947215"/>
      </c:lineChart>
      <c:catAx>
        <c:axId val="259681503"/>
        <c:scaling>
          <c:orientation val="minMax"/>
        </c:scaling>
        <c:delete val="0"/>
        <c:axPos val="b"/>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947215"/>
        <c:crosses val="autoZero"/>
        <c:auto val="1"/>
        <c:lblAlgn val="ctr"/>
        <c:lblOffset val="100"/>
        <c:noMultiLvlLbl val="0"/>
      </c:catAx>
      <c:valAx>
        <c:axId val="272947215"/>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9681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a:t>
            </a:r>
            <a:r>
              <a:rPr lang="en-US" baseline="0"/>
              <a:t> Street Cuts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Sensitivity!$H$3</c:f>
              <c:strCache>
                <c:ptCount val="1"/>
                <c:pt idx="0">
                  <c:v>Traditional Trench</c:v>
                </c:pt>
              </c:strCache>
            </c:strRef>
          </c:tx>
          <c:spPr>
            <a:ln w="28575" cap="rnd">
              <a:solidFill>
                <a:schemeClr val="accent1"/>
              </a:solidFill>
              <a:round/>
            </a:ln>
            <a:effectLst/>
          </c:spPr>
          <c:marker>
            <c:symbol val="none"/>
          </c:marker>
          <c:cat>
            <c:strRef>
              <c:f>Sensitivity!$B$17:$B$21</c:f>
              <c:strCache>
                <c:ptCount val="5"/>
                <c:pt idx="0">
                  <c:v>1/5</c:v>
                </c:pt>
                <c:pt idx="1">
                  <c:v>1/4</c:v>
                </c:pt>
                <c:pt idx="2">
                  <c:v>1/3</c:v>
                </c:pt>
                <c:pt idx="3">
                  <c:v>1/2</c:v>
                </c:pt>
                <c:pt idx="4">
                  <c:v>1</c:v>
                </c:pt>
              </c:strCache>
            </c:strRef>
          </c:cat>
          <c:val>
            <c:numRef>
              <c:f>Sensitivity!$H$17:$H$21</c:f>
              <c:numCache>
                <c:formatCode>"$"#,##0.00_);\("$"#,##0.00\)</c:formatCode>
                <c:ptCount val="5"/>
                <c:pt idx="0">
                  <c:v>-14057174.470000001</c:v>
                </c:pt>
                <c:pt idx="1">
                  <c:v>-16658253.130000001</c:v>
                </c:pt>
                <c:pt idx="2">
                  <c:v>-21104830.210000001</c:v>
                </c:pt>
                <c:pt idx="3">
                  <c:v>-29663646.48</c:v>
                </c:pt>
                <c:pt idx="4">
                  <c:v>-55674433.170000002</c:v>
                </c:pt>
              </c:numCache>
            </c:numRef>
          </c:val>
          <c:smooth val="0"/>
          <c:extLst>
            <c:ext xmlns:c16="http://schemas.microsoft.com/office/drawing/2014/chart" uri="{C3380CC4-5D6E-409C-BE32-E72D297353CC}">
              <c16:uniqueId val="{00000000-4BB6-C44D-AB15-691704C4C36E}"/>
            </c:ext>
          </c:extLst>
        </c:ser>
        <c:ser>
          <c:idx val="1"/>
          <c:order val="1"/>
          <c:tx>
            <c:strRef>
              <c:f>Sensitivity!$I$3</c:f>
              <c:strCache>
                <c:ptCount val="1"/>
                <c:pt idx="0">
                  <c:v>Utilidor</c:v>
                </c:pt>
              </c:strCache>
            </c:strRef>
          </c:tx>
          <c:spPr>
            <a:ln w="28575" cap="rnd">
              <a:solidFill>
                <a:schemeClr val="accent2"/>
              </a:solidFill>
              <a:round/>
            </a:ln>
            <a:effectLst/>
          </c:spPr>
          <c:marker>
            <c:symbol val="none"/>
          </c:marker>
          <c:cat>
            <c:strRef>
              <c:f>Sensitivity!$B$17:$B$21</c:f>
              <c:strCache>
                <c:ptCount val="5"/>
                <c:pt idx="0">
                  <c:v>1/5</c:v>
                </c:pt>
                <c:pt idx="1">
                  <c:v>1/4</c:v>
                </c:pt>
                <c:pt idx="2">
                  <c:v>1/3</c:v>
                </c:pt>
                <c:pt idx="3">
                  <c:v>1/2</c:v>
                </c:pt>
                <c:pt idx="4">
                  <c:v>1</c:v>
                </c:pt>
              </c:strCache>
            </c:strRef>
          </c:cat>
          <c:val>
            <c:numRef>
              <c:f>Sensitivity!$I$17:$I$21</c:f>
              <c:numCache>
                <c:formatCode>"$"#,##0.00_);\("$"#,##0.00\)</c:formatCode>
                <c:ptCount val="5"/>
                <c:pt idx="0">
                  <c:v>-9301961.8699999992</c:v>
                </c:pt>
                <c:pt idx="1">
                  <c:v>-9301961.8699999992</c:v>
                </c:pt>
                <c:pt idx="2">
                  <c:v>-9301961.8699999992</c:v>
                </c:pt>
                <c:pt idx="3">
                  <c:v>-9301961.8699999992</c:v>
                </c:pt>
                <c:pt idx="4">
                  <c:v>-9301961.8699999992</c:v>
                </c:pt>
              </c:numCache>
            </c:numRef>
          </c:val>
          <c:smooth val="0"/>
          <c:extLst>
            <c:ext xmlns:c16="http://schemas.microsoft.com/office/drawing/2014/chart" uri="{C3380CC4-5D6E-409C-BE32-E72D297353CC}">
              <c16:uniqueId val="{00000001-4BB6-C44D-AB15-691704C4C36E}"/>
            </c:ext>
          </c:extLst>
        </c:ser>
        <c:dLbls>
          <c:showLegendKey val="0"/>
          <c:showVal val="0"/>
          <c:showCatName val="0"/>
          <c:showSerName val="0"/>
          <c:showPercent val="0"/>
          <c:showBubbleSize val="0"/>
        </c:dLbls>
        <c:smooth val="0"/>
        <c:axId val="259681503"/>
        <c:axId val="272947215"/>
      </c:lineChart>
      <c:catAx>
        <c:axId val="259681503"/>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947215"/>
        <c:crosses val="autoZero"/>
        <c:auto val="1"/>
        <c:lblAlgn val="ctr"/>
        <c:lblOffset val="100"/>
        <c:noMultiLvlLbl val="0"/>
      </c:catAx>
      <c:valAx>
        <c:axId val="272947215"/>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9681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Cost of Construction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Sensitivity!$H$3</c:f>
              <c:strCache>
                <c:ptCount val="1"/>
                <c:pt idx="0">
                  <c:v>Traditional Trench</c:v>
                </c:pt>
              </c:strCache>
            </c:strRef>
          </c:tx>
          <c:spPr>
            <a:ln w="28575" cap="rnd">
              <a:solidFill>
                <a:schemeClr val="accent1"/>
              </a:solidFill>
              <a:round/>
            </a:ln>
            <a:effectLst/>
          </c:spPr>
          <c:marker>
            <c:symbol val="none"/>
          </c:marker>
          <c:cat>
            <c:numRef>
              <c:f>Sensitivity!$B$25:$B$35</c:f>
              <c:numCache>
                <c:formatCode>0%</c:formatCode>
                <c:ptCount val="11"/>
                <c:pt idx="0">
                  <c:v>0.5</c:v>
                </c:pt>
                <c:pt idx="1">
                  <c:v>0.6</c:v>
                </c:pt>
                <c:pt idx="2">
                  <c:v>0.7</c:v>
                </c:pt>
                <c:pt idx="3">
                  <c:v>0.8</c:v>
                </c:pt>
                <c:pt idx="4">
                  <c:v>0.9</c:v>
                </c:pt>
                <c:pt idx="5">
                  <c:v>1</c:v>
                </c:pt>
                <c:pt idx="6">
                  <c:v>1.1000000000000001</c:v>
                </c:pt>
                <c:pt idx="7">
                  <c:v>1.2</c:v>
                </c:pt>
                <c:pt idx="8">
                  <c:v>1.3</c:v>
                </c:pt>
                <c:pt idx="9">
                  <c:v>1.4</c:v>
                </c:pt>
                <c:pt idx="10">
                  <c:v>1.5</c:v>
                </c:pt>
              </c:numCache>
            </c:numRef>
          </c:cat>
          <c:val>
            <c:numRef>
              <c:f>Sensitivity!$H$25:$H$35</c:f>
              <c:numCache>
                <c:formatCode>"$"#,##0.00_);\("$"#,##0.00\)</c:formatCode>
                <c:ptCount val="11"/>
                <c:pt idx="0">
                  <c:v>-19216651.07</c:v>
                </c:pt>
                <c:pt idx="1">
                  <c:v>-19568529.600000001</c:v>
                </c:pt>
                <c:pt idx="2">
                  <c:v>-19920408.129999999</c:v>
                </c:pt>
                <c:pt idx="3">
                  <c:v>-20272286.66</c:v>
                </c:pt>
                <c:pt idx="4">
                  <c:v>-20624165.199999999</c:v>
                </c:pt>
                <c:pt idx="5">
                  <c:v>-21104830.210000001</c:v>
                </c:pt>
                <c:pt idx="6">
                  <c:v>-21327922.260000002</c:v>
                </c:pt>
                <c:pt idx="7">
                  <c:v>-21679800.789999999</c:v>
                </c:pt>
                <c:pt idx="8">
                  <c:v>-22031679.32</c:v>
                </c:pt>
                <c:pt idx="9">
                  <c:v>-22383557.850000001</c:v>
                </c:pt>
                <c:pt idx="10">
                  <c:v>-22735436.379999999</c:v>
                </c:pt>
              </c:numCache>
            </c:numRef>
          </c:val>
          <c:smooth val="0"/>
          <c:extLst>
            <c:ext xmlns:c16="http://schemas.microsoft.com/office/drawing/2014/chart" uri="{C3380CC4-5D6E-409C-BE32-E72D297353CC}">
              <c16:uniqueId val="{00000000-9C94-5845-833B-DE65439FCE32}"/>
            </c:ext>
          </c:extLst>
        </c:ser>
        <c:ser>
          <c:idx val="1"/>
          <c:order val="1"/>
          <c:tx>
            <c:strRef>
              <c:f>Sensitivity!$I$3</c:f>
              <c:strCache>
                <c:ptCount val="1"/>
                <c:pt idx="0">
                  <c:v>Utilidor</c:v>
                </c:pt>
              </c:strCache>
            </c:strRef>
          </c:tx>
          <c:spPr>
            <a:ln w="28575" cap="rnd">
              <a:solidFill>
                <a:schemeClr val="accent2"/>
              </a:solidFill>
              <a:round/>
            </a:ln>
            <a:effectLst/>
          </c:spPr>
          <c:marker>
            <c:symbol val="none"/>
          </c:marker>
          <c:cat>
            <c:numRef>
              <c:f>Sensitivity!$B$25:$B$35</c:f>
              <c:numCache>
                <c:formatCode>0%</c:formatCode>
                <c:ptCount val="11"/>
                <c:pt idx="0">
                  <c:v>0.5</c:v>
                </c:pt>
                <c:pt idx="1">
                  <c:v>0.6</c:v>
                </c:pt>
                <c:pt idx="2">
                  <c:v>0.7</c:v>
                </c:pt>
                <c:pt idx="3">
                  <c:v>0.8</c:v>
                </c:pt>
                <c:pt idx="4">
                  <c:v>0.9</c:v>
                </c:pt>
                <c:pt idx="5">
                  <c:v>1</c:v>
                </c:pt>
                <c:pt idx="6">
                  <c:v>1.1000000000000001</c:v>
                </c:pt>
                <c:pt idx="7">
                  <c:v>1.2</c:v>
                </c:pt>
                <c:pt idx="8">
                  <c:v>1.3</c:v>
                </c:pt>
                <c:pt idx="9">
                  <c:v>1.4</c:v>
                </c:pt>
                <c:pt idx="10">
                  <c:v>1.5</c:v>
                </c:pt>
              </c:numCache>
            </c:numRef>
          </c:cat>
          <c:val>
            <c:numRef>
              <c:f>Sensitivity!$I$25:$I$35</c:f>
              <c:numCache>
                <c:formatCode>"$"#,##0.00_);\("$"#,##0.00\)</c:formatCode>
                <c:ptCount val="11"/>
                <c:pt idx="0">
                  <c:v>-9301961.8699999992</c:v>
                </c:pt>
                <c:pt idx="1">
                  <c:v>-9301961.8699999992</c:v>
                </c:pt>
                <c:pt idx="2">
                  <c:v>-9301961.8699999992</c:v>
                </c:pt>
                <c:pt idx="3">
                  <c:v>-9301961.8699999992</c:v>
                </c:pt>
                <c:pt idx="4">
                  <c:v>-9301961.8699999992</c:v>
                </c:pt>
                <c:pt idx="5">
                  <c:v>-9301961.8699999992</c:v>
                </c:pt>
                <c:pt idx="6">
                  <c:v>-9301961.8699999992</c:v>
                </c:pt>
                <c:pt idx="7">
                  <c:v>-9301961.8699999992</c:v>
                </c:pt>
                <c:pt idx="8">
                  <c:v>-9301961.8699999992</c:v>
                </c:pt>
                <c:pt idx="9">
                  <c:v>-9301961.8699999992</c:v>
                </c:pt>
                <c:pt idx="10">
                  <c:v>-9301961.8699999992</c:v>
                </c:pt>
              </c:numCache>
            </c:numRef>
          </c:val>
          <c:smooth val="0"/>
          <c:extLst>
            <c:ext xmlns:c16="http://schemas.microsoft.com/office/drawing/2014/chart" uri="{C3380CC4-5D6E-409C-BE32-E72D297353CC}">
              <c16:uniqueId val="{00000001-9C94-5845-833B-DE65439FCE32}"/>
            </c:ext>
          </c:extLst>
        </c:ser>
        <c:dLbls>
          <c:showLegendKey val="0"/>
          <c:showVal val="0"/>
          <c:showCatName val="0"/>
          <c:showSerName val="0"/>
          <c:showPercent val="0"/>
          <c:showBubbleSize val="0"/>
        </c:dLbls>
        <c:smooth val="0"/>
        <c:axId val="259681503"/>
        <c:axId val="272947215"/>
      </c:lineChart>
      <c:catAx>
        <c:axId val="259681503"/>
        <c:scaling>
          <c:orientation val="minMax"/>
        </c:scaling>
        <c:delete val="0"/>
        <c:axPos val="b"/>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947215"/>
        <c:crosses val="autoZero"/>
        <c:auto val="1"/>
        <c:lblAlgn val="ctr"/>
        <c:lblOffset val="100"/>
        <c:noMultiLvlLbl val="0"/>
      </c:catAx>
      <c:valAx>
        <c:axId val="272947215"/>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9681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Trenching Cost</a:t>
            </a:r>
            <a:r>
              <a:rPr lang="en-US" baseline="0"/>
              <a:t> per Foot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Sensitivity!$H$3</c:f>
              <c:strCache>
                <c:ptCount val="1"/>
                <c:pt idx="0">
                  <c:v>Traditional Trench</c:v>
                </c:pt>
              </c:strCache>
            </c:strRef>
          </c:tx>
          <c:spPr>
            <a:ln w="28575" cap="rnd">
              <a:solidFill>
                <a:schemeClr val="accent1"/>
              </a:solidFill>
              <a:round/>
            </a:ln>
            <a:effectLst/>
          </c:spPr>
          <c:marker>
            <c:symbol val="none"/>
          </c:marker>
          <c:cat>
            <c:numRef>
              <c:f>Sensitivity!$B$39:$B$59</c:f>
              <c:numCache>
                <c:formatCode>General</c:formatCode>
                <c:ptCount val="21"/>
                <c:pt idx="0">
                  <c:v>278</c:v>
                </c:pt>
                <c:pt idx="1">
                  <c:v>288</c:v>
                </c:pt>
                <c:pt idx="2">
                  <c:v>298</c:v>
                </c:pt>
                <c:pt idx="3">
                  <c:v>308</c:v>
                </c:pt>
                <c:pt idx="4">
                  <c:v>318</c:v>
                </c:pt>
                <c:pt idx="5">
                  <c:v>328</c:v>
                </c:pt>
                <c:pt idx="6">
                  <c:v>338</c:v>
                </c:pt>
                <c:pt idx="7">
                  <c:v>348</c:v>
                </c:pt>
                <c:pt idx="8">
                  <c:v>358</c:v>
                </c:pt>
                <c:pt idx="9">
                  <c:v>368</c:v>
                </c:pt>
                <c:pt idx="10">
                  <c:v>378</c:v>
                </c:pt>
                <c:pt idx="11">
                  <c:v>388</c:v>
                </c:pt>
                <c:pt idx="12">
                  <c:v>398</c:v>
                </c:pt>
                <c:pt idx="13">
                  <c:v>408</c:v>
                </c:pt>
                <c:pt idx="14">
                  <c:v>418</c:v>
                </c:pt>
                <c:pt idx="15">
                  <c:v>428</c:v>
                </c:pt>
                <c:pt idx="16">
                  <c:v>438</c:v>
                </c:pt>
                <c:pt idx="17">
                  <c:v>448</c:v>
                </c:pt>
                <c:pt idx="18">
                  <c:v>458</c:v>
                </c:pt>
                <c:pt idx="19">
                  <c:v>468</c:v>
                </c:pt>
                <c:pt idx="20">
                  <c:v>478</c:v>
                </c:pt>
              </c:numCache>
            </c:numRef>
          </c:cat>
          <c:val>
            <c:numRef>
              <c:f>Sensitivity!$H$39:$H$59</c:f>
              <c:numCache>
                <c:formatCode>"$"#,##0.00_);\("$"#,##0.00\)</c:formatCode>
                <c:ptCount val="21"/>
                <c:pt idx="0">
                  <c:v>-16487906.82</c:v>
                </c:pt>
                <c:pt idx="1">
                  <c:v>-16949599.16</c:v>
                </c:pt>
                <c:pt idx="2">
                  <c:v>-17411291.5</c:v>
                </c:pt>
                <c:pt idx="3">
                  <c:v>-17872983.84</c:v>
                </c:pt>
                <c:pt idx="4">
                  <c:v>-18334676.18</c:v>
                </c:pt>
                <c:pt idx="5">
                  <c:v>-18796368.52</c:v>
                </c:pt>
                <c:pt idx="6">
                  <c:v>-19258060.850000001</c:v>
                </c:pt>
                <c:pt idx="7">
                  <c:v>-19719753.190000001</c:v>
                </c:pt>
                <c:pt idx="8">
                  <c:v>-20181445.530000001</c:v>
                </c:pt>
                <c:pt idx="9">
                  <c:v>-20643137.870000001</c:v>
                </c:pt>
                <c:pt idx="10">
                  <c:v>-21104830.210000001</c:v>
                </c:pt>
                <c:pt idx="11">
                  <c:v>-21566522.550000001</c:v>
                </c:pt>
                <c:pt idx="12">
                  <c:v>-22028214.890000001</c:v>
                </c:pt>
                <c:pt idx="13">
                  <c:v>-22489907.23</c:v>
                </c:pt>
                <c:pt idx="14">
                  <c:v>-22951599.57</c:v>
                </c:pt>
                <c:pt idx="15">
                  <c:v>-23413291.91</c:v>
                </c:pt>
                <c:pt idx="16">
                  <c:v>-23874984.25</c:v>
                </c:pt>
                <c:pt idx="17">
                  <c:v>-24336676.59</c:v>
                </c:pt>
                <c:pt idx="18">
                  <c:v>-24798368.93</c:v>
                </c:pt>
                <c:pt idx="19">
                  <c:v>-25260061.27</c:v>
                </c:pt>
                <c:pt idx="20">
                  <c:v>-25721753.600000001</c:v>
                </c:pt>
              </c:numCache>
            </c:numRef>
          </c:val>
          <c:smooth val="0"/>
          <c:extLst>
            <c:ext xmlns:c16="http://schemas.microsoft.com/office/drawing/2014/chart" uri="{C3380CC4-5D6E-409C-BE32-E72D297353CC}">
              <c16:uniqueId val="{00000000-9290-1343-AAD5-12831B6B2FB4}"/>
            </c:ext>
          </c:extLst>
        </c:ser>
        <c:ser>
          <c:idx val="1"/>
          <c:order val="1"/>
          <c:tx>
            <c:strRef>
              <c:f>Sensitivity!$I$3</c:f>
              <c:strCache>
                <c:ptCount val="1"/>
                <c:pt idx="0">
                  <c:v>Utilidor</c:v>
                </c:pt>
              </c:strCache>
            </c:strRef>
          </c:tx>
          <c:spPr>
            <a:ln w="28575" cap="rnd">
              <a:solidFill>
                <a:schemeClr val="accent2"/>
              </a:solidFill>
              <a:round/>
            </a:ln>
            <a:effectLst/>
          </c:spPr>
          <c:marker>
            <c:symbol val="none"/>
          </c:marker>
          <c:cat>
            <c:numRef>
              <c:f>Sensitivity!$B$39:$B$59</c:f>
              <c:numCache>
                <c:formatCode>General</c:formatCode>
                <c:ptCount val="21"/>
                <c:pt idx="0">
                  <c:v>278</c:v>
                </c:pt>
                <c:pt idx="1">
                  <c:v>288</c:v>
                </c:pt>
                <c:pt idx="2">
                  <c:v>298</c:v>
                </c:pt>
                <c:pt idx="3">
                  <c:v>308</c:v>
                </c:pt>
                <c:pt idx="4">
                  <c:v>318</c:v>
                </c:pt>
                <c:pt idx="5">
                  <c:v>328</c:v>
                </c:pt>
                <c:pt idx="6">
                  <c:v>338</c:v>
                </c:pt>
                <c:pt idx="7">
                  <c:v>348</c:v>
                </c:pt>
                <c:pt idx="8">
                  <c:v>358</c:v>
                </c:pt>
                <c:pt idx="9">
                  <c:v>368</c:v>
                </c:pt>
                <c:pt idx="10">
                  <c:v>378</c:v>
                </c:pt>
                <c:pt idx="11">
                  <c:v>388</c:v>
                </c:pt>
                <c:pt idx="12">
                  <c:v>398</c:v>
                </c:pt>
                <c:pt idx="13">
                  <c:v>408</c:v>
                </c:pt>
                <c:pt idx="14">
                  <c:v>418</c:v>
                </c:pt>
                <c:pt idx="15">
                  <c:v>428</c:v>
                </c:pt>
                <c:pt idx="16">
                  <c:v>438</c:v>
                </c:pt>
                <c:pt idx="17">
                  <c:v>448</c:v>
                </c:pt>
                <c:pt idx="18">
                  <c:v>458</c:v>
                </c:pt>
                <c:pt idx="19">
                  <c:v>468</c:v>
                </c:pt>
                <c:pt idx="20">
                  <c:v>478</c:v>
                </c:pt>
              </c:numCache>
            </c:numRef>
          </c:cat>
          <c:val>
            <c:numRef>
              <c:f>Sensitivity!$I$39:$I$59</c:f>
              <c:numCache>
                <c:formatCode>"$"#,##0.00_);\("$"#,##0.00\)</c:formatCode>
                <c:ptCount val="21"/>
                <c:pt idx="0">
                  <c:v>-9301961.8699999992</c:v>
                </c:pt>
                <c:pt idx="1">
                  <c:v>-9301961.8699999992</c:v>
                </c:pt>
                <c:pt idx="2">
                  <c:v>-9301961.8699999992</c:v>
                </c:pt>
                <c:pt idx="3">
                  <c:v>-9301961.8699999992</c:v>
                </c:pt>
                <c:pt idx="4">
                  <c:v>-9301961.8699999992</c:v>
                </c:pt>
                <c:pt idx="5">
                  <c:v>-9301961.8699999992</c:v>
                </c:pt>
                <c:pt idx="6">
                  <c:v>-9301961.8699999992</c:v>
                </c:pt>
                <c:pt idx="7">
                  <c:v>-9301961.8699999992</c:v>
                </c:pt>
                <c:pt idx="8">
                  <c:v>-9301961.8699999992</c:v>
                </c:pt>
                <c:pt idx="9">
                  <c:v>-9301961.8699999992</c:v>
                </c:pt>
                <c:pt idx="10">
                  <c:v>-9301961.8699999992</c:v>
                </c:pt>
                <c:pt idx="11">
                  <c:v>-9301961.8699999992</c:v>
                </c:pt>
                <c:pt idx="12">
                  <c:v>-9301961.8699999992</c:v>
                </c:pt>
                <c:pt idx="13">
                  <c:v>-9301961.8699999992</c:v>
                </c:pt>
                <c:pt idx="14">
                  <c:v>-9301961.8699999992</c:v>
                </c:pt>
                <c:pt idx="15">
                  <c:v>-9301961.8699999992</c:v>
                </c:pt>
                <c:pt idx="16">
                  <c:v>-9301961.8699999992</c:v>
                </c:pt>
                <c:pt idx="17">
                  <c:v>-9301961.8699999992</c:v>
                </c:pt>
                <c:pt idx="18">
                  <c:v>-9301961.8699999992</c:v>
                </c:pt>
                <c:pt idx="19">
                  <c:v>-9301961.8699999992</c:v>
                </c:pt>
                <c:pt idx="20">
                  <c:v>-9301961.8699999992</c:v>
                </c:pt>
              </c:numCache>
            </c:numRef>
          </c:val>
          <c:smooth val="0"/>
          <c:extLst>
            <c:ext xmlns:c16="http://schemas.microsoft.com/office/drawing/2014/chart" uri="{C3380CC4-5D6E-409C-BE32-E72D297353CC}">
              <c16:uniqueId val="{00000001-9290-1343-AAD5-12831B6B2FB4}"/>
            </c:ext>
          </c:extLst>
        </c:ser>
        <c:dLbls>
          <c:showLegendKey val="0"/>
          <c:showVal val="0"/>
          <c:showCatName val="0"/>
          <c:showSerName val="0"/>
          <c:showPercent val="0"/>
          <c:showBubbleSize val="0"/>
        </c:dLbls>
        <c:smooth val="0"/>
        <c:axId val="259681503"/>
        <c:axId val="272947215"/>
      </c:lineChart>
      <c:catAx>
        <c:axId val="259681503"/>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947215"/>
        <c:crosses val="autoZero"/>
        <c:auto val="1"/>
        <c:lblAlgn val="ctr"/>
        <c:lblOffset val="100"/>
        <c:noMultiLvlLbl val="0"/>
      </c:catAx>
      <c:valAx>
        <c:axId val="272947215"/>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9681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5</xdr:col>
      <xdr:colOff>989911</xdr:colOff>
      <xdr:row>23</xdr:row>
      <xdr:rowOff>120090</xdr:rowOff>
    </xdr:to>
    <xdr:pic>
      <xdr:nvPicPr>
        <xdr:cNvPr id="2" name="Picture 1">
          <a:extLst>
            <a:ext uri="{FF2B5EF4-FFF2-40B4-BE49-F238E27FC236}">
              <a16:creationId xmlns:a16="http://schemas.microsoft.com/office/drawing/2014/main" id="{E30D90C4-1746-FF4B-965E-505995A823E2}"/>
            </a:ext>
          </a:extLst>
        </xdr:cNvPr>
        <xdr:cNvPicPr>
          <a:picLocks noChangeAspect="1"/>
        </xdr:cNvPicPr>
      </xdr:nvPicPr>
      <xdr:blipFill>
        <a:blip xmlns:r="http://schemas.openxmlformats.org/officeDocument/2006/relationships" r:embed="rId1"/>
        <a:stretch>
          <a:fillRect/>
        </a:stretch>
      </xdr:blipFill>
      <xdr:spPr>
        <a:xfrm>
          <a:off x="0" y="609600"/>
          <a:ext cx="6209611" cy="4184090"/>
        </a:xfrm>
        <a:prstGeom prst="rect">
          <a:avLst/>
        </a:prstGeom>
      </xdr:spPr>
    </xdr:pic>
    <xdr:clientData/>
  </xdr:twoCellAnchor>
  <xdr:twoCellAnchor editAs="oneCell">
    <xdr:from>
      <xdr:col>8</xdr:col>
      <xdr:colOff>381000</xdr:colOff>
      <xdr:row>2</xdr:row>
      <xdr:rowOff>50800</xdr:rowOff>
    </xdr:from>
    <xdr:to>
      <xdr:col>15</xdr:col>
      <xdr:colOff>154901</xdr:colOff>
      <xdr:row>24</xdr:row>
      <xdr:rowOff>11831</xdr:rowOff>
    </xdr:to>
    <xdr:pic>
      <xdr:nvPicPr>
        <xdr:cNvPr id="3" name="Picture 2">
          <a:extLst>
            <a:ext uri="{FF2B5EF4-FFF2-40B4-BE49-F238E27FC236}">
              <a16:creationId xmlns:a16="http://schemas.microsoft.com/office/drawing/2014/main" id="{8BE69DC2-9D10-604B-942F-0996EFB1964A}"/>
            </a:ext>
          </a:extLst>
        </xdr:cNvPr>
        <xdr:cNvPicPr>
          <a:picLocks noChangeAspect="1"/>
        </xdr:cNvPicPr>
      </xdr:nvPicPr>
      <xdr:blipFill>
        <a:blip xmlns:r="http://schemas.openxmlformats.org/officeDocument/2006/relationships" r:embed="rId2"/>
        <a:stretch>
          <a:fillRect/>
        </a:stretch>
      </xdr:blipFill>
      <xdr:spPr>
        <a:xfrm>
          <a:off x="6985000" y="457200"/>
          <a:ext cx="5552401" cy="4431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704850</xdr:colOff>
      <xdr:row>1</xdr:row>
      <xdr:rowOff>82550</xdr:rowOff>
    </xdr:from>
    <xdr:to>
      <xdr:col>16</xdr:col>
      <xdr:colOff>323850</xdr:colOff>
      <xdr:row>15</xdr:row>
      <xdr:rowOff>184150</xdr:rowOff>
    </xdr:to>
    <xdr:graphicFrame macro="">
      <xdr:nvGraphicFramePr>
        <xdr:cNvPr id="6" name="Chart 5">
          <a:extLst>
            <a:ext uri="{FF2B5EF4-FFF2-40B4-BE49-F238E27FC236}">
              <a16:creationId xmlns:a16="http://schemas.microsoft.com/office/drawing/2014/main" id="{29290619-7FC1-581C-025D-0157336F45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38100</xdr:colOff>
      <xdr:row>8</xdr:row>
      <xdr:rowOff>114300</xdr:rowOff>
    </xdr:from>
    <xdr:to>
      <xdr:col>20</xdr:col>
      <xdr:colOff>482600</xdr:colOff>
      <xdr:row>23</xdr:row>
      <xdr:rowOff>12700</xdr:rowOff>
    </xdr:to>
    <xdr:graphicFrame macro="">
      <xdr:nvGraphicFramePr>
        <xdr:cNvPr id="7" name="Chart 6">
          <a:extLst>
            <a:ext uri="{FF2B5EF4-FFF2-40B4-BE49-F238E27FC236}">
              <a16:creationId xmlns:a16="http://schemas.microsoft.com/office/drawing/2014/main" id="{E66EAA16-E584-1E44-BE91-C358EC842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393700</xdr:colOff>
      <xdr:row>22</xdr:row>
      <xdr:rowOff>152400</xdr:rowOff>
    </xdr:from>
    <xdr:to>
      <xdr:col>16</xdr:col>
      <xdr:colOff>12700</xdr:colOff>
      <xdr:row>37</xdr:row>
      <xdr:rowOff>50800</xdr:rowOff>
    </xdr:to>
    <xdr:graphicFrame macro="">
      <xdr:nvGraphicFramePr>
        <xdr:cNvPr id="8" name="Chart 7">
          <a:extLst>
            <a:ext uri="{FF2B5EF4-FFF2-40B4-BE49-F238E27FC236}">
              <a16:creationId xmlns:a16="http://schemas.microsoft.com/office/drawing/2014/main" id="{7D7118A5-2DCB-5D46-8791-87CAD0C014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39</xdr:row>
      <xdr:rowOff>0</xdr:rowOff>
    </xdr:from>
    <xdr:to>
      <xdr:col>17</xdr:col>
      <xdr:colOff>571500</xdr:colOff>
      <xdr:row>53</xdr:row>
      <xdr:rowOff>101600</xdr:rowOff>
    </xdr:to>
    <xdr:graphicFrame macro="">
      <xdr:nvGraphicFramePr>
        <xdr:cNvPr id="9" name="Chart 8">
          <a:extLst>
            <a:ext uri="{FF2B5EF4-FFF2-40B4-BE49-F238E27FC236}">
              <a16:creationId xmlns:a16="http://schemas.microsoft.com/office/drawing/2014/main" id="{E42FD2D0-914C-6146-867B-418CEF6E67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tumnq/Documents/DDC/New%20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d Debt Service"/>
      <sheetName val="DOT Resurfacings"/>
      <sheetName val="Utility Trenching Costs"/>
      <sheetName val="Util Const Costs + DS"/>
      <sheetName val="OM + D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86774-1CD9-374A-9D4E-A67742B8254E}">
  <dimension ref="A2:J28"/>
  <sheetViews>
    <sheetView workbookViewId="0">
      <selection activeCell="A33" sqref="A33"/>
    </sheetView>
  </sheetViews>
  <sheetFormatPr defaultColWidth="11" defaultRowHeight="15.75" x14ac:dyDescent="0.25"/>
  <cols>
    <col min="1" max="1" width="76" bestFit="1" customWidth="1"/>
    <col min="4" max="4" width="29" bestFit="1" customWidth="1"/>
  </cols>
  <sheetData>
    <row r="2" spans="1:6" x14ac:dyDescent="0.25">
      <c r="A2" t="s">
        <v>17</v>
      </c>
      <c r="B2" s="2">
        <v>0.04</v>
      </c>
      <c r="E2" t="s">
        <v>23</v>
      </c>
      <c r="F2" t="s">
        <v>24</v>
      </c>
    </row>
    <row r="3" spans="1:6" x14ac:dyDescent="0.25">
      <c r="A3" t="s">
        <v>18</v>
      </c>
      <c r="B3" s="2">
        <v>0.1</v>
      </c>
      <c r="D3" t="s">
        <v>22</v>
      </c>
      <c r="E3">
        <v>15</v>
      </c>
      <c r="F3" s="2">
        <v>0.05</v>
      </c>
    </row>
    <row r="4" spans="1:6" x14ac:dyDescent="0.25">
      <c r="A4" t="s">
        <v>20</v>
      </c>
      <c r="B4" s="2">
        <v>0.45</v>
      </c>
    </row>
    <row r="5" spans="1:6" x14ac:dyDescent="0.25">
      <c r="A5" t="s">
        <v>19</v>
      </c>
      <c r="B5" s="2">
        <v>0.45</v>
      </c>
      <c r="C5" s="2">
        <v>0.9</v>
      </c>
      <c r="D5" t="s">
        <v>21</v>
      </c>
      <c r="E5">
        <v>40</v>
      </c>
      <c r="F5" s="2">
        <v>0.04</v>
      </c>
    </row>
    <row r="7" spans="1:6" x14ac:dyDescent="0.25">
      <c r="A7" t="s">
        <v>26</v>
      </c>
      <c r="B7" s="3">
        <v>13</v>
      </c>
      <c r="D7" t="s">
        <v>25</v>
      </c>
    </row>
    <row r="8" spans="1:6" x14ac:dyDescent="0.25">
      <c r="A8" t="s">
        <v>114</v>
      </c>
      <c r="B8" s="4">
        <v>160000</v>
      </c>
    </row>
    <row r="10" spans="1:6" x14ac:dyDescent="0.25">
      <c r="A10" t="s">
        <v>27</v>
      </c>
    </row>
    <row r="11" spans="1:6" x14ac:dyDescent="0.25">
      <c r="A11" t="s">
        <v>28</v>
      </c>
    </row>
    <row r="14" spans="1:6" x14ac:dyDescent="0.25">
      <c r="A14" t="s">
        <v>29</v>
      </c>
      <c r="B14">
        <v>604</v>
      </c>
    </row>
    <row r="15" spans="1:6" x14ac:dyDescent="0.25">
      <c r="A15" t="s">
        <v>30</v>
      </c>
      <c r="B15" s="43">
        <f>B14/(2024-1991)</f>
        <v>18.303030303030305</v>
      </c>
      <c r="D15" t="s">
        <v>115</v>
      </c>
    </row>
    <row r="16" spans="1:6" x14ac:dyDescent="0.25">
      <c r="A16" t="s">
        <v>31</v>
      </c>
      <c r="B16" s="43">
        <f>B15/3</f>
        <v>6.1010101010101012</v>
      </c>
    </row>
    <row r="17" spans="1:10" x14ac:dyDescent="0.25">
      <c r="A17" t="s">
        <v>32</v>
      </c>
      <c r="B17" s="5">
        <v>5.0000000000000001E-4</v>
      </c>
      <c r="C17" t="s">
        <v>33</v>
      </c>
    </row>
    <row r="19" spans="1:10" x14ac:dyDescent="0.25">
      <c r="A19" t="s">
        <v>34</v>
      </c>
    </row>
    <row r="20" spans="1:10" x14ac:dyDescent="0.25">
      <c r="A20" t="s">
        <v>35</v>
      </c>
      <c r="D20" t="s">
        <v>37</v>
      </c>
      <c r="F20" s="5">
        <v>3.6999999999999998E-2</v>
      </c>
      <c r="G20" t="s">
        <v>38</v>
      </c>
    </row>
    <row r="21" spans="1:10" x14ac:dyDescent="0.25">
      <c r="A21" t="s">
        <v>41</v>
      </c>
    </row>
    <row r="22" spans="1:10" x14ac:dyDescent="0.25">
      <c r="A22" t="s">
        <v>36</v>
      </c>
    </row>
    <row r="24" spans="1:10" x14ac:dyDescent="0.25">
      <c r="A24" t="s">
        <v>39</v>
      </c>
    </row>
    <row r="25" spans="1:10" x14ac:dyDescent="0.25">
      <c r="A25" t="s">
        <v>40</v>
      </c>
      <c r="B25">
        <v>2</v>
      </c>
    </row>
    <row r="26" spans="1:10" x14ac:dyDescent="0.25">
      <c r="A26" t="s">
        <v>23</v>
      </c>
      <c r="B26">
        <v>40</v>
      </c>
      <c r="C26" t="s">
        <v>42</v>
      </c>
    </row>
    <row r="27" spans="1:10" x14ac:dyDescent="0.25">
      <c r="A27" t="s">
        <v>43</v>
      </c>
      <c r="B27" s="2">
        <v>0.04</v>
      </c>
    </row>
    <row r="28" spans="1:10" x14ac:dyDescent="0.25">
      <c r="A28" t="s">
        <v>44</v>
      </c>
      <c r="B28" s="2">
        <v>0.1</v>
      </c>
      <c r="J28">
        <v>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6ED23-2645-3940-A823-B90C23D1ED2F}">
  <sheetPr>
    <tabColor theme="7" tint="0.79998168889431442"/>
  </sheetPr>
  <dimension ref="A1:F19"/>
  <sheetViews>
    <sheetView workbookViewId="0">
      <selection activeCell="E26" sqref="E26"/>
    </sheetView>
  </sheetViews>
  <sheetFormatPr defaultColWidth="11" defaultRowHeight="15.75" x14ac:dyDescent="0.25"/>
  <cols>
    <col min="1" max="1" width="41.875" bestFit="1" customWidth="1"/>
    <col min="2" max="2" width="18.125" customWidth="1"/>
    <col min="3" max="3" width="15.5" customWidth="1"/>
    <col min="5" max="5" width="19" customWidth="1"/>
    <col min="6" max="6" width="18.375" customWidth="1"/>
  </cols>
  <sheetData>
    <row r="1" spans="1:3" x14ac:dyDescent="0.25">
      <c r="A1" s="1" t="s">
        <v>6</v>
      </c>
    </row>
    <row r="2" spans="1:3" x14ac:dyDescent="0.25">
      <c r="A2" t="s">
        <v>7</v>
      </c>
    </row>
    <row r="3" spans="1:3" x14ac:dyDescent="0.25">
      <c r="A3" t="s">
        <v>8</v>
      </c>
      <c r="B3" s="20">
        <f>'[1]Trad Debt Service'!S66</f>
        <v>61805050.303242758</v>
      </c>
    </row>
    <row r="4" spans="1:3" x14ac:dyDescent="0.25">
      <c r="A4" t="s">
        <v>9</v>
      </c>
      <c r="B4" s="20">
        <f>'[1]Trad Debt Service'!X66</f>
        <v>115911019.07214876</v>
      </c>
    </row>
    <row r="5" spans="1:3" x14ac:dyDescent="0.25">
      <c r="B5" s="20">
        <f>B3+B4</f>
        <v>177716069.37539151</v>
      </c>
    </row>
    <row r="7" spans="1:3" x14ac:dyDescent="0.25">
      <c r="A7" t="s">
        <v>10</v>
      </c>
      <c r="B7" s="25">
        <f>'[1]DOT Resurfacings'!B22</f>
        <v>6771424.9757420216</v>
      </c>
    </row>
    <row r="8" spans="1:3" x14ac:dyDescent="0.25">
      <c r="A8" t="s">
        <v>11</v>
      </c>
      <c r="B8" s="38">
        <f>'[1]Utility Trenching Costs'!F142</f>
        <v>881405412.90825927</v>
      </c>
      <c r="C8" s="32" t="s">
        <v>124</v>
      </c>
    </row>
    <row r="9" spans="1:3" x14ac:dyDescent="0.25">
      <c r="A9" s="1" t="s">
        <v>109</v>
      </c>
      <c r="B9" s="40">
        <f>B5+B7+B8</f>
        <v>1065892907.2593927</v>
      </c>
      <c r="C9" s="10">
        <f>-PV(0.04,100,0,B9,0)</f>
        <v>21104722.320879001</v>
      </c>
    </row>
    <row r="11" spans="1:3" x14ac:dyDescent="0.25">
      <c r="A11" s="1" t="s">
        <v>12</v>
      </c>
    </row>
    <row r="12" spans="1:3" x14ac:dyDescent="0.25">
      <c r="A12" t="s">
        <v>13</v>
      </c>
    </row>
    <row r="13" spans="1:3" x14ac:dyDescent="0.25">
      <c r="A13" t="s">
        <v>14</v>
      </c>
      <c r="B13" s="25">
        <f>'[1]Util Const Costs + DS'!D57</f>
        <v>369777242.45633346</v>
      </c>
    </row>
    <row r="14" spans="1:3" x14ac:dyDescent="0.25">
      <c r="B14" s="20"/>
    </row>
    <row r="15" spans="1:3" x14ac:dyDescent="0.25">
      <c r="A15" t="s">
        <v>138</v>
      </c>
      <c r="B15" s="25">
        <f>'[1]OM + DS'!D73</f>
        <v>98069018.407017589</v>
      </c>
      <c r="C15" s="32" t="s">
        <v>124</v>
      </c>
    </row>
    <row r="16" spans="1:3" x14ac:dyDescent="0.25">
      <c r="A16" s="1" t="s">
        <v>110</v>
      </c>
      <c r="B16" s="45">
        <f>B13+B15</f>
        <v>467846260.86335105</v>
      </c>
      <c r="C16" s="10">
        <f>-PV(0.04,100,0,B16,0)</f>
        <v>9263374.7322419249</v>
      </c>
    </row>
    <row r="17" spans="1:6" x14ac:dyDescent="0.25">
      <c r="E17" s="38"/>
      <c r="F17" s="10"/>
    </row>
    <row r="19" spans="1:6" x14ac:dyDescent="0.25">
      <c r="A19" s="1" t="s">
        <v>16</v>
      </c>
      <c r="B19" s="13">
        <f>B9/B16</f>
        <v>2.2782973733559873</v>
      </c>
      <c r="C19" s="13">
        <f>C9/C16</f>
        <v>2.2782973733559873</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B3296-07BF-8743-9482-C914FD04D1C1}">
  <sheetPr>
    <tabColor theme="9" tint="0.79998168889431442"/>
  </sheetPr>
  <dimension ref="A1:F32"/>
  <sheetViews>
    <sheetView workbookViewId="0">
      <selection activeCell="B2" sqref="B2"/>
    </sheetView>
  </sheetViews>
  <sheetFormatPr defaultColWidth="11" defaultRowHeight="15.75" x14ac:dyDescent="0.25"/>
  <cols>
    <col min="1" max="1" width="28.625" bestFit="1" customWidth="1"/>
    <col min="2" max="2" width="19.125" customWidth="1"/>
    <col min="3" max="3" width="21.625" customWidth="1"/>
    <col min="4" max="5" width="15.375" bestFit="1" customWidth="1"/>
    <col min="6" max="6" width="87.375" customWidth="1"/>
  </cols>
  <sheetData>
    <row r="1" spans="1:6" x14ac:dyDescent="0.25">
      <c r="A1" s="1" t="s">
        <v>5</v>
      </c>
    </row>
    <row r="2" spans="1:6" x14ac:dyDescent="0.25">
      <c r="A2" t="s">
        <v>45</v>
      </c>
      <c r="B2" s="6" t="s">
        <v>49</v>
      </c>
    </row>
    <row r="3" spans="1:6" x14ac:dyDescent="0.25">
      <c r="A3" t="s">
        <v>46</v>
      </c>
      <c r="B3" t="s">
        <v>47</v>
      </c>
      <c r="F3" t="s">
        <v>48</v>
      </c>
    </row>
    <row r="4" spans="1:6" x14ac:dyDescent="0.25">
      <c r="F4" t="s">
        <v>58</v>
      </c>
    </row>
    <row r="5" spans="1:6" ht="78.75" x14ac:dyDescent="0.25">
      <c r="B5" s="8" t="s">
        <v>50</v>
      </c>
      <c r="C5" s="9" t="s">
        <v>70</v>
      </c>
      <c r="F5" s="9" t="s">
        <v>59</v>
      </c>
    </row>
    <row r="6" spans="1:6" x14ac:dyDescent="0.25">
      <c r="A6" t="s">
        <v>0</v>
      </c>
      <c r="B6" s="10">
        <v>23001572.199999999</v>
      </c>
      <c r="C6" s="10">
        <f>FV(0.04,8,0,-B6,0)</f>
        <v>31479239.823582351</v>
      </c>
      <c r="F6" s="8" t="s">
        <v>67</v>
      </c>
    </row>
    <row r="7" spans="1:6" x14ac:dyDescent="0.25">
      <c r="A7" t="s">
        <v>1</v>
      </c>
      <c r="B7" s="10">
        <v>43846693.009999998</v>
      </c>
      <c r="C7" s="10">
        <f>FV(0.04, 8, 0, -B7, 0)</f>
        <v>60007227.016107269</v>
      </c>
    </row>
    <row r="8" spans="1:6" x14ac:dyDescent="0.25">
      <c r="A8" t="s">
        <v>2</v>
      </c>
      <c r="B8" s="10">
        <v>66848265.210000001</v>
      </c>
      <c r="C8" s="10">
        <f>SUM(C6:C7)</f>
        <v>91486466.839689612</v>
      </c>
      <c r="D8" s="11"/>
      <c r="E8" s="19"/>
    </row>
    <row r="9" spans="1:6" x14ac:dyDescent="0.25">
      <c r="A9" t="s">
        <v>3</v>
      </c>
      <c r="B9" s="13">
        <f>+B6/B8</f>
        <v>0.34408629943861485</v>
      </c>
    </row>
    <row r="10" spans="1:6" x14ac:dyDescent="0.25">
      <c r="A10" t="s">
        <v>4</v>
      </c>
      <c r="B10" s="13">
        <f>+B7/B8</f>
        <v>0.65591370056138509</v>
      </c>
    </row>
    <row r="11" spans="1:6" x14ac:dyDescent="0.25">
      <c r="F11" s="18" t="s">
        <v>140</v>
      </c>
    </row>
    <row r="12" spans="1:6" x14ac:dyDescent="0.25">
      <c r="F12" s="18" t="s">
        <v>68</v>
      </c>
    </row>
    <row r="13" spans="1:6" x14ac:dyDescent="0.25">
      <c r="A13" t="s">
        <v>52</v>
      </c>
      <c r="B13" s="14">
        <f>C6</f>
        <v>31479239.823582351</v>
      </c>
      <c r="F13" s="18"/>
    </row>
    <row r="14" spans="1:6" x14ac:dyDescent="0.25">
      <c r="A14" t="s">
        <v>53</v>
      </c>
      <c r="B14" s="14">
        <f>C7</f>
        <v>60007227.016107269</v>
      </c>
      <c r="F14" s="18" t="s">
        <v>69</v>
      </c>
    </row>
    <row r="15" spans="1:6" x14ac:dyDescent="0.25">
      <c r="F15" s="18" t="s">
        <v>139</v>
      </c>
    </row>
    <row r="16" spans="1:6" x14ac:dyDescent="0.25">
      <c r="A16" t="s">
        <v>54</v>
      </c>
      <c r="B16" s="14" t="s">
        <v>117</v>
      </c>
      <c r="F16" s="18"/>
    </row>
    <row r="17" spans="1:6" x14ac:dyDescent="0.25">
      <c r="A17" t="s">
        <v>55</v>
      </c>
      <c r="B17" s="15">
        <v>15</v>
      </c>
      <c r="C17" s="14">
        <f>C6*0.1</f>
        <v>3147923.9823582354</v>
      </c>
      <c r="F17" s="18"/>
    </row>
    <row r="18" spans="1:6" ht="31.5" x14ac:dyDescent="0.25">
      <c r="A18" s="7" t="s">
        <v>56</v>
      </c>
      <c r="B18" s="15">
        <v>40</v>
      </c>
      <c r="C18" s="14">
        <f>(C6*0.9)*0.5</f>
        <v>14165657.920612058</v>
      </c>
      <c r="F18" s="18" t="s">
        <v>71</v>
      </c>
    </row>
    <row r="19" spans="1:6" ht="31.5" x14ac:dyDescent="0.25">
      <c r="A19" s="7" t="s">
        <v>57</v>
      </c>
      <c r="B19" s="15">
        <v>50</v>
      </c>
      <c r="C19" s="14">
        <f>(C6*0.9)*0.5</f>
        <v>14165657.920612058</v>
      </c>
    </row>
    <row r="20" spans="1:6" x14ac:dyDescent="0.25">
      <c r="A20" s="7"/>
      <c r="B20" s="15"/>
      <c r="C20" s="12">
        <f>SUM(C17:C19)</f>
        <v>31479239.823582351</v>
      </c>
    </row>
    <row r="21" spans="1:6" x14ac:dyDescent="0.25">
      <c r="A21" s="7" t="s">
        <v>63</v>
      </c>
    </row>
    <row r="23" spans="1:6" x14ac:dyDescent="0.25">
      <c r="A23" t="s">
        <v>60</v>
      </c>
    </row>
    <row r="24" spans="1:6" x14ac:dyDescent="0.25">
      <c r="A24" s="16" t="s">
        <v>61</v>
      </c>
    </row>
    <row r="25" spans="1:6" x14ac:dyDescent="0.25">
      <c r="A25" s="16" t="s">
        <v>62</v>
      </c>
    </row>
    <row r="27" spans="1:6" x14ac:dyDescent="0.25">
      <c r="A27" s="17" t="s">
        <v>64</v>
      </c>
    </row>
    <row r="29" spans="1:6" x14ac:dyDescent="0.25">
      <c r="A29" t="s">
        <v>65</v>
      </c>
    </row>
    <row r="30" spans="1:6" x14ac:dyDescent="0.25">
      <c r="A30" t="s">
        <v>66</v>
      </c>
    </row>
    <row r="32" spans="1:6" x14ac:dyDescent="0.25">
      <c r="A32" t="s">
        <v>116</v>
      </c>
      <c r="C32" s="18"/>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C4EE-B64D-3C4F-818B-07AC15210511}">
  <sheetPr>
    <tabColor theme="9" tint="0.79998168889431442"/>
  </sheetPr>
  <dimension ref="A1:X66"/>
  <sheetViews>
    <sheetView workbookViewId="0">
      <selection activeCell="D20" sqref="D20"/>
    </sheetView>
  </sheetViews>
  <sheetFormatPr defaultColWidth="11" defaultRowHeight="15.75" x14ac:dyDescent="0.25"/>
  <cols>
    <col min="1" max="1" width="47.125" customWidth="1"/>
    <col min="5" max="5" width="15" bestFit="1" customWidth="1"/>
    <col min="7" max="8" width="11.875" style="29" bestFit="1" customWidth="1"/>
    <col min="9" max="9" width="13.375" bestFit="1" customWidth="1"/>
    <col min="11" max="11" width="15" bestFit="1" customWidth="1"/>
    <col min="12" max="13" width="11.875" bestFit="1" customWidth="1"/>
    <col min="14" max="14" width="14.375" bestFit="1" customWidth="1"/>
    <col min="16" max="16" width="15" bestFit="1" customWidth="1"/>
    <col min="17" max="18" width="11.875" style="27" bestFit="1" customWidth="1"/>
    <col min="19" max="19" width="15" style="27" bestFit="1" customWidth="1"/>
    <col min="21" max="21" width="15" bestFit="1" customWidth="1"/>
    <col min="22" max="23" width="13.375" bestFit="1" customWidth="1"/>
    <col min="24" max="24" width="15.375" bestFit="1" customWidth="1"/>
  </cols>
  <sheetData>
    <row r="1" spans="1:24" x14ac:dyDescent="0.25">
      <c r="A1" t="s">
        <v>8</v>
      </c>
      <c r="B1" t="s">
        <v>60</v>
      </c>
      <c r="C1" t="s">
        <v>80</v>
      </c>
      <c r="E1" t="s">
        <v>118</v>
      </c>
    </row>
    <row r="2" spans="1:24" x14ac:dyDescent="0.25">
      <c r="A2" t="s">
        <v>55</v>
      </c>
      <c r="B2">
        <v>15</v>
      </c>
      <c r="C2" s="24">
        <v>0.05</v>
      </c>
      <c r="D2" t="s">
        <v>81</v>
      </c>
      <c r="E2" s="12">
        <f>E5*0.1</f>
        <v>3147923.9823582354</v>
      </c>
    </row>
    <row r="3" spans="1:24" x14ac:dyDescent="0.25">
      <c r="A3" t="s">
        <v>56</v>
      </c>
      <c r="B3">
        <v>40</v>
      </c>
      <c r="C3" s="24">
        <v>0.04</v>
      </c>
      <c r="D3" t="s">
        <v>82</v>
      </c>
      <c r="E3" s="12">
        <f>E5*0.45</f>
        <v>14165657.920612058</v>
      </c>
    </row>
    <row r="4" spans="1:24" x14ac:dyDescent="0.25">
      <c r="A4" t="s">
        <v>57</v>
      </c>
      <c r="B4">
        <v>50</v>
      </c>
      <c r="C4" s="24">
        <v>0.04</v>
      </c>
      <c r="E4" s="12">
        <f>E5*0.45</f>
        <v>14165657.920612058</v>
      </c>
    </row>
    <row r="5" spans="1:24" x14ac:dyDescent="0.25">
      <c r="E5" s="12">
        <f>'Traditional Const Costs'!C6</f>
        <v>31479239.823582351</v>
      </c>
    </row>
    <row r="6" spans="1:24" x14ac:dyDescent="0.25">
      <c r="A6" t="s">
        <v>83</v>
      </c>
      <c r="E6" s="12"/>
    </row>
    <row r="7" spans="1:24" x14ac:dyDescent="0.25">
      <c r="A7" t="s">
        <v>84</v>
      </c>
      <c r="E7" s="12"/>
    </row>
    <row r="8" spans="1:24" x14ac:dyDescent="0.25">
      <c r="A8" t="s">
        <v>63</v>
      </c>
      <c r="B8">
        <v>40</v>
      </c>
      <c r="C8" s="44">
        <v>3.6999999999999998E-2</v>
      </c>
      <c r="D8" t="s">
        <v>82</v>
      </c>
      <c r="E8" s="25">
        <f>'Traditional Const Costs'!C7</f>
        <v>60007227.016107269</v>
      </c>
    </row>
    <row r="10" spans="1:24" x14ac:dyDescent="0.25">
      <c r="E10" s="12"/>
    </row>
    <row r="11" spans="1:24" ht="31.5" x14ac:dyDescent="0.25">
      <c r="A11" s="7" t="s">
        <v>85</v>
      </c>
    </row>
    <row r="13" spans="1:24" x14ac:dyDescent="0.25">
      <c r="E13" t="s">
        <v>86</v>
      </c>
      <c r="G13" s="31" t="s">
        <v>77</v>
      </c>
      <c r="H13" s="31" t="s">
        <v>78</v>
      </c>
      <c r="I13" s="32" t="s">
        <v>79</v>
      </c>
      <c r="K13" s="32" t="s">
        <v>87</v>
      </c>
      <c r="L13" s="32" t="s">
        <v>77</v>
      </c>
      <c r="M13" s="32" t="s">
        <v>78</v>
      </c>
      <c r="N13" s="32" t="s">
        <v>79</v>
      </c>
      <c r="P13" s="32" t="s">
        <v>87</v>
      </c>
      <c r="Q13" s="32" t="s">
        <v>77</v>
      </c>
      <c r="R13" s="32" t="s">
        <v>78</v>
      </c>
      <c r="S13" s="32" t="s">
        <v>79</v>
      </c>
      <c r="U13" s="32" t="s">
        <v>63</v>
      </c>
      <c r="V13" s="32" t="s">
        <v>77</v>
      </c>
      <c r="W13" s="32" t="s">
        <v>78</v>
      </c>
      <c r="X13" s="32" t="s">
        <v>79</v>
      </c>
    </row>
    <row r="14" spans="1:24" x14ac:dyDescent="0.25">
      <c r="E14" s="12">
        <f>E2</f>
        <v>3147923.9823582354</v>
      </c>
      <c r="F14" s="22">
        <v>1</v>
      </c>
      <c r="G14" s="30">
        <f>-PPMT($C$2,$F14,$B$2,$E$2,0)</f>
        <v>145881.99856248323</v>
      </c>
      <c r="H14" s="30">
        <f>-IPMT($C$2,$F14,$B$2,$E$2,0)</f>
        <v>157396.19911791178</v>
      </c>
      <c r="I14" s="10">
        <f>G14+H14</f>
        <v>303278.19768039498</v>
      </c>
      <c r="J14" s="26">
        <v>1</v>
      </c>
      <c r="K14" s="20">
        <f>E3</f>
        <v>14165657.920612058</v>
      </c>
      <c r="L14" s="10">
        <f>-PPMT($C$3,$J14,$B$3, $E$3,0)</f>
        <v>149072.14990097814</v>
      </c>
      <c r="M14" s="10">
        <f>-IPMT($C$3,$J14,$B$3,$E$3,0)</f>
        <v>566626.31682448229</v>
      </c>
      <c r="N14" s="10">
        <f>+L14+M14</f>
        <v>715698.46672546049</v>
      </c>
      <c r="O14" s="22">
        <v>1</v>
      </c>
      <c r="P14" s="12">
        <f>E4</f>
        <v>14165657.920612058</v>
      </c>
      <c r="Q14" s="28">
        <f>-PPMT($C$4,$O14,$B$4,$E$4,0)</f>
        <v>92787.898879644781</v>
      </c>
      <c r="R14" s="28">
        <f>-IPMT($C$4,$O14,$B$4,$E$4,0)</f>
        <v>566626.31682448229</v>
      </c>
      <c r="S14" s="28">
        <f>Q14+R14</f>
        <v>659414.2157041271</v>
      </c>
      <c r="T14" s="22">
        <v>1</v>
      </c>
      <c r="U14" s="25">
        <f>E8</f>
        <v>60007227.016107269</v>
      </c>
      <c r="V14" s="10">
        <f>-PPMT($C$8,$T14,$B$8,$E$8,0)</f>
        <v>677508.07720774855</v>
      </c>
      <c r="W14" s="10">
        <f>-IPMT($C$8,$T14,$B$8,$E$8,0)</f>
        <v>2220267.3995959684</v>
      </c>
      <c r="X14" s="10">
        <f>V14+W14</f>
        <v>2897775.4768037172</v>
      </c>
    </row>
    <row r="15" spans="1:24" x14ac:dyDescent="0.25">
      <c r="F15" s="22">
        <v>2</v>
      </c>
      <c r="G15" s="30">
        <f>-PPMT($C$2,$F15,$B$2,$E$2,0)</f>
        <v>153176.0984906074</v>
      </c>
      <c r="H15" s="30">
        <f>-IPMT($C$2,$F15,$B$2,$E$2,0)</f>
        <v>150102.09918978761</v>
      </c>
      <c r="I15" s="10">
        <f t="shared" ref="I15:I28" si="0">G15+H15</f>
        <v>303278.19768039498</v>
      </c>
      <c r="J15" s="26">
        <v>2</v>
      </c>
      <c r="L15" s="10">
        <f t="shared" ref="L15:L53" si="1">-PPMT($C$3,$J15,$B$3, $E$3,0)</f>
        <v>155035.03589701728</v>
      </c>
      <c r="M15" s="10">
        <f t="shared" ref="M15:M53" si="2">-IPMT($C$3,$J15,$B$3,$E$3,0)</f>
        <v>560663.43082844315</v>
      </c>
      <c r="N15" s="10">
        <f t="shared" ref="N15:N53" si="3">+L15+M15</f>
        <v>715698.46672546049</v>
      </c>
      <c r="O15" s="22">
        <v>2</v>
      </c>
      <c r="Q15" s="28">
        <f t="shared" ref="Q15:Q63" si="4">-PPMT($C$4,$O15,$B$4,$E$4,0)</f>
        <v>96499.41483483059</v>
      </c>
      <c r="R15" s="28">
        <f t="shared" ref="R15:R63" si="5">-IPMT($C$4,$O15,$B$4,$E$4,0)</f>
        <v>562914.80086929654</v>
      </c>
      <c r="S15" s="28">
        <f t="shared" ref="S15:S53" si="6">Q15+R15</f>
        <v>659414.2157041271</v>
      </c>
      <c r="T15" s="22">
        <v>2</v>
      </c>
      <c r="V15" s="10">
        <f>-PPMT($C$8,$T15,$B$8,$E$8,0)</f>
        <v>702575.87606443535</v>
      </c>
      <c r="W15" s="10">
        <f t="shared" ref="W15:W53" si="7">-IPMT($C$8,$T15,$B$8,$E$8,0)</f>
        <v>2195199.6007392816</v>
      </c>
      <c r="X15" s="10">
        <f t="shared" ref="X15:X53" si="8">V15+W15</f>
        <v>2897775.4768037172</v>
      </c>
    </row>
    <row r="16" spans="1:24" x14ac:dyDescent="0.25">
      <c r="F16" s="22">
        <v>3</v>
      </c>
      <c r="G16" s="30">
        <f t="shared" ref="G16:G28" si="9">-PPMT($C$2,$F16,$B$2,$E$2,0)</f>
        <v>160834.90341513779</v>
      </c>
      <c r="H16" s="30">
        <f t="shared" ref="H16:H28" si="10">-IPMT($C$2,$F16,$B$2,$E$2,0)</f>
        <v>142443.29426525725</v>
      </c>
      <c r="I16" s="10">
        <f t="shared" si="0"/>
        <v>303278.19768039504</v>
      </c>
      <c r="J16" s="26">
        <v>3</v>
      </c>
      <c r="L16" s="10">
        <f t="shared" si="1"/>
        <v>161236.43733289797</v>
      </c>
      <c r="M16" s="10">
        <f t="shared" si="2"/>
        <v>554462.02939256257</v>
      </c>
      <c r="N16" s="10">
        <f t="shared" si="3"/>
        <v>715698.46672546049</v>
      </c>
      <c r="O16" s="22">
        <v>3</v>
      </c>
      <c r="Q16" s="28">
        <f t="shared" si="4"/>
        <v>100359.39142822381</v>
      </c>
      <c r="R16" s="28">
        <f t="shared" si="5"/>
        <v>559054.82427590329</v>
      </c>
      <c r="S16" s="28">
        <f t="shared" si="6"/>
        <v>659414.2157041271</v>
      </c>
      <c r="T16" s="22">
        <v>3</v>
      </c>
      <c r="V16" s="10">
        <f t="shared" ref="V16:V53" si="11">-PPMT($C$8,$T16,$B$8,$E$8,0)</f>
        <v>728571.18347881944</v>
      </c>
      <c r="W16" s="10">
        <f t="shared" si="7"/>
        <v>2169204.293324898</v>
      </c>
      <c r="X16" s="10">
        <f t="shared" si="8"/>
        <v>2897775.4768037172</v>
      </c>
    </row>
    <row r="17" spans="6:24" x14ac:dyDescent="0.25">
      <c r="F17" s="22">
        <v>4</v>
      </c>
      <c r="G17" s="30">
        <f t="shared" si="9"/>
        <v>168876.64858589467</v>
      </c>
      <c r="H17" s="30">
        <f t="shared" si="10"/>
        <v>134401.54909450034</v>
      </c>
      <c r="I17" s="10">
        <f t="shared" si="0"/>
        <v>303278.19768039498</v>
      </c>
      <c r="J17" s="26">
        <v>4</v>
      </c>
      <c r="L17" s="10">
        <f t="shared" si="1"/>
        <v>167685.89482621386</v>
      </c>
      <c r="M17" s="10">
        <f t="shared" si="2"/>
        <v>548012.57189924654</v>
      </c>
      <c r="N17" s="10">
        <f t="shared" si="3"/>
        <v>715698.46672546037</v>
      </c>
      <c r="O17" s="22">
        <v>4</v>
      </c>
      <c r="Q17" s="28">
        <f t="shared" si="4"/>
        <v>104373.76708535277</v>
      </c>
      <c r="R17" s="28">
        <f t="shared" si="5"/>
        <v>555040.4486187743</v>
      </c>
      <c r="S17" s="28">
        <f t="shared" si="6"/>
        <v>659414.2157041271</v>
      </c>
      <c r="T17" s="22">
        <v>4</v>
      </c>
      <c r="V17" s="10">
        <f t="shared" si="11"/>
        <v>755528.31726753595</v>
      </c>
      <c r="W17" s="10">
        <f t="shared" si="7"/>
        <v>2142247.159536181</v>
      </c>
      <c r="X17" s="10">
        <f t="shared" si="8"/>
        <v>2897775.4768037172</v>
      </c>
    </row>
    <row r="18" spans="6:24" x14ac:dyDescent="0.25">
      <c r="F18" s="22">
        <v>5</v>
      </c>
      <c r="G18" s="30">
        <f t="shared" si="9"/>
        <v>177320.48101518941</v>
      </c>
      <c r="H18" s="30">
        <f t="shared" si="10"/>
        <v>125957.71666520562</v>
      </c>
      <c r="I18" s="10">
        <f t="shared" si="0"/>
        <v>303278.19768039504</v>
      </c>
      <c r="J18" s="26">
        <v>5</v>
      </c>
      <c r="L18" s="10">
        <f t="shared" si="1"/>
        <v>174393.33061926241</v>
      </c>
      <c r="M18" s="10">
        <f t="shared" si="2"/>
        <v>541305.13610619796</v>
      </c>
      <c r="N18" s="10">
        <f t="shared" si="3"/>
        <v>715698.46672546037</v>
      </c>
      <c r="O18" s="22">
        <v>5</v>
      </c>
      <c r="Q18" s="28">
        <f t="shared" si="4"/>
        <v>108548.71776876689</v>
      </c>
      <c r="R18" s="28">
        <f t="shared" si="5"/>
        <v>550865.49793536018</v>
      </c>
      <c r="S18" s="28">
        <f t="shared" si="6"/>
        <v>659414.2157041271</v>
      </c>
      <c r="T18" s="22">
        <v>5</v>
      </c>
      <c r="V18" s="10">
        <f t="shared" si="11"/>
        <v>783482.86500643473</v>
      </c>
      <c r="W18" s="10">
        <f t="shared" si="7"/>
        <v>2114292.6117972825</v>
      </c>
      <c r="X18" s="10">
        <f t="shared" si="8"/>
        <v>2897775.4768037172</v>
      </c>
    </row>
    <row r="19" spans="6:24" x14ac:dyDescent="0.25">
      <c r="F19" s="22">
        <v>6</v>
      </c>
      <c r="G19" s="30">
        <f t="shared" si="9"/>
        <v>186186.50506594888</v>
      </c>
      <c r="H19" s="30">
        <f t="shared" si="10"/>
        <v>117091.69261444616</v>
      </c>
      <c r="I19" s="10">
        <f t="shared" si="0"/>
        <v>303278.19768039504</v>
      </c>
      <c r="J19" s="26">
        <v>6</v>
      </c>
      <c r="L19" s="10">
        <f t="shared" si="1"/>
        <v>181369.06384403293</v>
      </c>
      <c r="M19" s="10">
        <f t="shared" si="2"/>
        <v>534329.40288142755</v>
      </c>
      <c r="N19" s="10">
        <f t="shared" si="3"/>
        <v>715698.46672546049</v>
      </c>
      <c r="O19" s="22">
        <v>6</v>
      </c>
      <c r="Q19" s="28">
        <f t="shared" si="4"/>
        <v>112890.66647951755</v>
      </c>
      <c r="R19" s="28">
        <f t="shared" si="5"/>
        <v>546523.54922460951</v>
      </c>
      <c r="S19" s="28">
        <f t="shared" si="6"/>
        <v>659414.2157041271</v>
      </c>
      <c r="T19" s="22">
        <v>6</v>
      </c>
      <c r="V19" s="10">
        <f t="shared" si="11"/>
        <v>812471.73101167288</v>
      </c>
      <c r="W19" s="10">
        <f t="shared" si="7"/>
        <v>2085303.7457920446</v>
      </c>
      <c r="X19" s="10">
        <f t="shared" si="8"/>
        <v>2897775.4768037172</v>
      </c>
    </row>
    <row r="20" spans="6:24" x14ac:dyDescent="0.25">
      <c r="F20" s="22">
        <v>7</v>
      </c>
      <c r="G20" s="30">
        <f t="shared" si="9"/>
        <v>195495.83031924631</v>
      </c>
      <c r="H20" s="30">
        <f t="shared" si="10"/>
        <v>107782.36736114869</v>
      </c>
      <c r="I20" s="10">
        <f t="shared" si="0"/>
        <v>303278.19768039498</v>
      </c>
      <c r="J20" s="26">
        <v>7</v>
      </c>
      <c r="L20" s="10">
        <f t="shared" si="1"/>
        <v>188623.82639779424</v>
      </c>
      <c r="M20" s="10">
        <f t="shared" si="2"/>
        <v>527074.6403276663</v>
      </c>
      <c r="N20" s="10">
        <f t="shared" si="3"/>
        <v>715698.46672546049</v>
      </c>
      <c r="O20" s="22">
        <v>7</v>
      </c>
      <c r="Q20" s="28">
        <f t="shared" si="4"/>
        <v>117406.29313869825</v>
      </c>
      <c r="R20" s="28">
        <f t="shared" si="5"/>
        <v>542007.92256542877</v>
      </c>
      <c r="S20" s="28">
        <f t="shared" si="6"/>
        <v>659414.21570412698</v>
      </c>
      <c r="T20" s="22">
        <v>7</v>
      </c>
      <c r="V20" s="10">
        <f t="shared" si="11"/>
        <v>842533.18505910481</v>
      </c>
      <c r="W20" s="10">
        <f t="shared" si="7"/>
        <v>2055242.2917446124</v>
      </c>
      <c r="X20" s="10">
        <f t="shared" si="8"/>
        <v>2897775.4768037172</v>
      </c>
    </row>
    <row r="21" spans="6:24" x14ac:dyDescent="0.25">
      <c r="F21" s="22">
        <v>8</v>
      </c>
      <c r="G21" s="30">
        <f t="shared" si="9"/>
        <v>205270.62183520861</v>
      </c>
      <c r="H21" s="30">
        <f t="shared" si="10"/>
        <v>98007.57584518638</v>
      </c>
      <c r="I21" s="10">
        <f t="shared" si="0"/>
        <v>303278.19768039498</v>
      </c>
      <c r="J21" s="26">
        <v>8</v>
      </c>
      <c r="L21" s="10">
        <f t="shared" si="1"/>
        <v>196168.77945370597</v>
      </c>
      <c r="M21" s="10">
        <f t="shared" si="2"/>
        <v>519529.68727175443</v>
      </c>
      <c r="N21" s="10">
        <f t="shared" si="3"/>
        <v>715698.46672546037</v>
      </c>
      <c r="O21" s="22">
        <v>8</v>
      </c>
      <c r="Q21" s="28">
        <f t="shared" si="4"/>
        <v>122102.54486424617</v>
      </c>
      <c r="R21" s="28">
        <f t="shared" si="5"/>
        <v>537311.67083988083</v>
      </c>
      <c r="S21" s="28">
        <f t="shared" si="6"/>
        <v>659414.21570412698</v>
      </c>
      <c r="T21" s="22">
        <v>8</v>
      </c>
      <c r="V21" s="10">
        <f t="shared" si="11"/>
        <v>873706.91290629143</v>
      </c>
      <c r="W21" s="10">
        <f t="shared" si="7"/>
        <v>2024068.5638974255</v>
      </c>
      <c r="X21" s="10">
        <f t="shared" si="8"/>
        <v>2897775.4768037172</v>
      </c>
    </row>
    <row r="22" spans="6:24" x14ac:dyDescent="0.25">
      <c r="F22" s="22">
        <v>9</v>
      </c>
      <c r="G22" s="30">
        <f t="shared" si="9"/>
        <v>215534.15292696908</v>
      </c>
      <c r="H22" s="30">
        <f t="shared" si="10"/>
        <v>87744.044753425944</v>
      </c>
      <c r="I22" s="10">
        <f t="shared" si="0"/>
        <v>303278.19768039504</v>
      </c>
      <c r="J22" s="26">
        <v>9</v>
      </c>
      <c r="L22" s="10">
        <f t="shared" si="1"/>
        <v>204015.53063185423</v>
      </c>
      <c r="M22" s="10">
        <f t="shared" si="2"/>
        <v>511682.93609360623</v>
      </c>
      <c r="N22" s="10">
        <f t="shared" si="3"/>
        <v>715698.46672546049</v>
      </c>
      <c r="O22" s="22">
        <v>9</v>
      </c>
      <c r="Q22" s="28">
        <f t="shared" si="4"/>
        <v>126986.64665881601</v>
      </c>
      <c r="R22" s="28">
        <f t="shared" si="5"/>
        <v>532427.56904531096</v>
      </c>
      <c r="S22" s="28">
        <f t="shared" si="6"/>
        <v>659414.21570412698</v>
      </c>
      <c r="T22" s="22">
        <v>9</v>
      </c>
      <c r="V22" s="10">
        <f t="shared" si="11"/>
        <v>906034.06868382427</v>
      </c>
      <c r="W22" s="10">
        <f t="shared" si="7"/>
        <v>1991741.4081198929</v>
      </c>
      <c r="X22" s="10">
        <f t="shared" si="8"/>
        <v>2897775.4768037172</v>
      </c>
    </row>
    <row r="23" spans="6:24" x14ac:dyDescent="0.25">
      <c r="F23" s="22">
        <v>10</v>
      </c>
      <c r="G23" s="30">
        <f t="shared" si="9"/>
        <v>226310.86057331754</v>
      </c>
      <c r="H23" s="30">
        <f t="shared" si="10"/>
        <v>76967.337107077488</v>
      </c>
      <c r="I23" s="10">
        <f t="shared" si="0"/>
        <v>303278.19768039504</v>
      </c>
      <c r="J23" s="26">
        <v>10</v>
      </c>
      <c r="L23" s="10">
        <f t="shared" si="1"/>
        <v>212176.1518571284</v>
      </c>
      <c r="M23" s="10">
        <f t="shared" si="2"/>
        <v>503522.314868332</v>
      </c>
      <c r="N23" s="10">
        <f t="shared" si="3"/>
        <v>715698.46672546037</v>
      </c>
      <c r="O23" s="22">
        <v>10</v>
      </c>
      <c r="Q23" s="28">
        <f t="shared" si="4"/>
        <v>132066.11252516866</v>
      </c>
      <c r="R23" s="28">
        <f t="shared" si="5"/>
        <v>527348.10317895841</v>
      </c>
      <c r="S23" s="28">
        <f t="shared" si="6"/>
        <v>659414.2157041271</v>
      </c>
      <c r="T23" s="22">
        <v>10</v>
      </c>
      <c r="V23" s="10">
        <f t="shared" si="11"/>
        <v>939557.32922512584</v>
      </c>
      <c r="W23" s="10">
        <f t="shared" si="7"/>
        <v>1958218.1475785912</v>
      </c>
      <c r="X23" s="10">
        <f t="shared" si="8"/>
        <v>2897775.4768037172</v>
      </c>
    </row>
    <row r="24" spans="6:24" x14ac:dyDescent="0.25">
      <c r="F24" s="22">
        <v>11</v>
      </c>
      <c r="G24" s="30">
        <f t="shared" si="9"/>
        <v>237626.40360198339</v>
      </c>
      <c r="H24" s="30">
        <f t="shared" si="10"/>
        <v>65651.794078411622</v>
      </c>
      <c r="I24" s="10">
        <f t="shared" si="0"/>
        <v>303278.19768039498</v>
      </c>
      <c r="J24" s="26">
        <v>11</v>
      </c>
      <c r="L24" s="10">
        <f t="shared" si="1"/>
        <v>220663.19793141357</v>
      </c>
      <c r="M24" s="10">
        <f t="shared" si="2"/>
        <v>495035.26879404689</v>
      </c>
      <c r="N24" s="10">
        <f t="shared" si="3"/>
        <v>715698.46672546049</v>
      </c>
      <c r="O24" s="22">
        <v>11</v>
      </c>
      <c r="Q24" s="28">
        <f t="shared" si="4"/>
        <v>137348.75702617542</v>
      </c>
      <c r="R24" s="28">
        <f t="shared" si="5"/>
        <v>522065.45867795165</v>
      </c>
      <c r="S24" s="28">
        <f t="shared" si="6"/>
        <v>659414.2157041271</v>
      </c>
      <c r="T24" s="22">
        <v>11</v>
      </c>
      <c r="V24" s="10">
        <f t="shared" si="11"/>
        <v>974320.95040645543</v>
      </c>
      <c r="W24" s="10">
        <f t="shared" si="7"/>
        <v>1923454.5263972615</v>
      </c>
      <c r="X24" s="10">
        <f t="shared" si="8"/>
        <v>2897775.4768037172</v>
      </c>
    </row>
    <row r="25" spans="6:24" x14ac:dyDescent="0.25">
      <c r="F25" s="22">
        <v>12</v>
      </c>
      <c r="G25" s="30">
        <f t="shared" si="9"/>
        <v>249507.72378208255</v>
      </c>
      <c r="H25" s="30">
        <f t="shared" si="10"/>
        <v>53770.473898312441</v>
      </c>
      <c r="I25" s="10">
        <f t="shared" si="0"/>
        <v>303278.19768039498</v>
      </c>
      <c r="J25" s="26">
        <v>12</v>
      </c>
      <c r="L25" s="10">
        <f t="shared" si="1"/>
        <v>229489.72584867006</v>
      </c>
      <c r="M25" s="10">
        <f t="shared" si="2"/>
        <v>486208.74087679037</v>
      </c>
      <c r="N25" s="10">
        <f t="shared" si="3"/>
        <v>715698.46672546049</v>
      </c>
      <c r="O25" s="22">
        <v>12</v>
      </c>
      <c r="Q25" s="28">
        <f t="shared" si="4"/>
        <v>142842.70730722244</v>
      </c>
      <c r="R25" s="28">
        <f t="shared" si="5"/>
        <v>516571.50839690457</v>
      </c>
      <c r="S25" s="28">
        <f t="shared" si="6"/>
        <v>659414.21570412698</v>
      </c>
      <c r="T25" s="22">
        <v>12</v>
      </c>
      <c r="V25" s="10">
        <f t="shared" si="11"/>
        <v>1010370.8255714943</v>
      </c>
      <c r="W25" s="10">
        <f t="shared" si="7"/>
        <v>1887404.651232223</v>
      </c>
      <c r="X25" s="10">
        <f t="shared" si="8"/>
        <v>2897775.4768037172</v>
      </c>
    </row>
    <row r="26" spans="6:24" x14ac:dyDescent="0.25">
      <c r="F26" s="22">
        <v>13</v>
      </c>
      <c r="G26" s="30">
        <f t="shared" si="9"/>
        <v>261983.10997118667</v>
      </c>
      <c r="H26" s="30">
        <f t="shared" si="10"/>
        <v>41295.08770920831</v>
      </c>
      <c r="I26" s="10">
        <f t="shared" si="0"/>
        <v>303278.19768039498</v>
      </c>
      <c r="J26" s="26">
        <v>13</v>
      </c>
      <c r="L26" s="10">
        <f t="shared" si="1"/>
        <v>238669.31488261689</v>
      </c>
      <c r="M26" s="10">
        <f t="shared" si="2"/>
        <v>477029.15184284351</v>
      </c>
      <c r="N26" s="10">
        <f t="shared" si="3"/>
        <v>715698.46672546037</v>
      </c>
      <c r="O26" s="22">
        <v>13</v>
      </c>
      <c r="Q26" s="28">
        <f t="shared" si="4"/>
        <v>148556.41559951135</v>
      </c>
      <c r="R26" s="28">
        <f t="shared" si="5"/>
        <v>510857.80010461569</v>
      </c>
      <c r="S26" s="28">
        <f t="shared" si="6"/>
        <v>659414.21570412698</v>
      </c>
      <c r="T26" s="22">
        <v>13</v>
      </c>
      <c r="V26" s="10">
        <f t="shared" si="11"/>
        <v>1047754.5461176395</v>
      </c>
      <c r="W26" s="10">
        <f t="shared" si="7"/>
        <v>1850020.9306860776</v>
      </c>
      <c r="X26" s="10">
        <f t="shared" si="8"/>
        <v>2897775.4768037172</v>
      </c>
    </row>
    <row r="27" spans="6:24" x14ac:dyDescent="0.25">
      <c r="F27" s="22">
        <v>14</v>
      </c>
      <c r="G27" s="30">
        <f t="shared" si="9"/>
        <v>275082.26546974602</v>
      </c>
      <c r="H27" s="30">
        <f t="shared" si="10"/>
        <v>28195.932210648974</v>
      </c>
      <c r="I27" s="10">
        <f t="shared" si="0"/>
        <v>303278.19768039498</v>
      </c>
      <c r="J27" s="26">
        <v>14</v>
      </c>
      <c r="L27" s="10">
        <f t="shared" si="1"/>
        <v>248216.0874779216</v>
      </c>
      <c r="M27" s="10">
        <f t="shared" si="2"/>
        <v>467482.3792475388</v>
      </c>
      <c r="N27" s="10">
        <f t="shared" si="3"/>
        <v>715698.46672546037</v>
      </c>
      <c r="O27" s="22">
        <v>14</v>
      </c>
      <c r="Q27" s="28">
        <f t="shared" si="4"/>
        <v>154498.67222349177</v>
      </c>
      <c r="R27" s="28">
        <f t="shared" si="5"/>
        <v>504915.54348063527</v>
      </c>
      <c r="S27" s="28">
        <f t="shared" si="6"/>
        <v>659414.21570412698</v>
      </c>
      <c r="T27" s="22">
        <v>14</v>
      </c>
      <c r="V27" s="10">
        <f t="shared" si="11"/>
        <v>1086521.4643239924</v>
      </c>
      <c r="W27" s="10">
        <f t="shared" si="7"/>
        <v>1811254.0124797248</v>
      </c>
      <c r="X27" s="10">
        <f t="shared" si="8"/>
        <v>2897775.4768037172</v>
      </c>
    </row>
    <row r="28" spans="6:24" x14ac:dyDescent="0.25">
      <c r="F28" s="22">
        <v>15</v>
      </c>
      <c r="G28" s="30">
        <f t="shared" si="9"/>
        <v>288836.37874323333</v>
      </c>
      <c r="H28" s="30">
        <f t="shared" si="10"/>
        <v>14441.81893716167</v>
      </c>
      <c r="I28" s="10">
        <f t="shared" si="0"/>
        <v>303278.19768039498</v>
      </c>
      <c r="J28" s="26">
        <v>15</v>
      </c>
      <c r="L28" s="10">
        <f t="shared" si="1"/>
        <v>258144.73097703842</v>
      </c>
      <c r="M28" s="10">
        <f t="shared" si="2"/>
        <v>457553.73574842198</v>
      </c>
      <c r="N28" s="10">
        <f t="shared" si="3"/>
        <v>715698.46672546037</v>
      </c>
      <c r="O28" s="22">
        <v>15</v>
      </c>
      <c r="Q28" s="28">
        <f t="shared" si="4"/>
        <v>160678.61911243145</v>
      </c>
      <c r="R28" s="28">
        <f t="shared" si="5"/>
        <v>498735.59659169556</v>
      </c>
      <c r="S28" s="28">
        <f t="shared" si="6"/>
        <v>659414.21570412698</v>
      </c>
      <c r="T28" s="22">
        <v>15</v>
      </c>
      <c r="V28" s="10">
        <f t="shared" si="11"/>
        <v>1126722.75850398</v>
      </c>
      <c r="W28" s="10">
        <f t="shared" si="7"/>
        <v>1771052.718299737</v>
      </c>
      <c r="X28" s="10">
        <f t="shared" si="8"/>
        <v>2897775.4768037172</v>
      </c>
    </row>
    <row r="29" spans="6:24" x14ac:dyDescent="0.25">
      <c r="F29" s="22">
        <v>16</v>
      </c>
      <c r="J29" s="26">
        <v>16</v>
      </c>
      <c r="L29" s="10">
        <f t="shared" si="1"/>
        <v>268470.52021611994</v>
      </c>
      <c r="M29" s="10">
        <f t="shared" si="2"/>
        <v>447227.94650934055</v>
      </c>
      <c r="N29" s="10">
        <f t="shared" si="3"/>
        <v>715698.46672546049</v>
      </c>
      <c r="O29" s="22">
        <v>16</v>
      </c>
      <c r="Q29" s="28">
        <f t="shared" si="4"/>
        <v>167105.76387692872</v>
      </c>
      <c r="R29" s="28">
        <f t="shared" si="5"/>
        <v>492308.45182719833</v>
      </c>
      <c r="S29" s="28">
        <f t="shared" si="6"/>
        <v>659414.21570412698</v>
      </c>
      <c r="T29" s="22">
        <v>16</v>
      </c>
      <c r="V29" s="10">
        <f t="shared" si="11"/>
        <v>1168411.5005686271</v>
      </c>
      <c r="W29" s="10">
        <f t="shared" si="7"/>
        <v>1729363.9762350903</v>
      </c>
      <c r="X29" s="10">
        <f t="shared" si="8"/>
        <v>2897775.4768037172</v>
      </c>
    </row>
    <row r="30" spans="6:24" x14ac:dyDescent="0.25">
      <c r="F30" s="22">
        <v>17</v>
      </c>
      <c r="J30" s="26">
        <v>17</v>
      </c>
      <c r="L30" s="10">
        <f t="shared" si="1"/>
        <v>279209.34102476476</v>
      </c>
      <c r="M30" s="10">
        <f t="shared" si="2"/>
        <v>436489.12570069561</v>
      </c>
      <c r="N30" s="10">
        <f t="shared" si="3"/>
        <v>715698.46672546037</v>
      </c>
      <c r="O30" s="22">
        <v>17</v>
      </c>
      <c r="Q30" s="28">
        <f t="shared" si="4"/>
        <v>173789.99443200586</v>
      </c>
      <c r="R30" s="28">
        <f t="shared" si="5"/>
        <v>485624.22127212124</v>
      </c>
      <c r="S30" s="28">
        <f t="shared" si="6"/>
        <v>659414.2157041271</v>
      </c>
      <c r="T30" s="22">
        <v>17</v>
      </c>
      <c r="V30" s="10">
        <f t="shared" si="11"/>
        <v>1211642.7260896666</v>
      </c>
      <c r="W30" s="10">
        <f t="shared" si="7"/>
        <v>1686132.7507140506</v>
      </c>
      <c r="X30" s="10">
        <f t="shared" si="8"/>
        <v>2897775.4768037172</v>
      </c>
    </row>
    <row r="31" spans="6:24" x14ac:dyDescent="0.25">
      <c r="F31" s="22">
        <v>18</v>
      </c>
      <c r="J31" s="26">
        <v>18</v>
      </c>
      <c r="L31" s="10">
        <f t="shared" si="1"/>
        <v>290377.7146657554</v>
      </c>
      <c r="M31" s="10">
        <f t="shared" si="2"/>
        <v>425320.75205970503</v>
      </c>
      <c r="N31" s="10">
        <f t="shared" si="3"/>
        <v>715698.46672546049</v>
      </c>
      <c r="O31" s="22">
        <v>18</v>
      </c>
      <c r="Q31" s="28">
        <f t="shared" si="4"/>
        <v>180741.59420928606</v>
      </c>
      <c r="R31" s="28">
        <f t="shared" si="5"/>
        <v>478672.62149484101</v>
      </c>
      <c r="S31" s="28">
        <f t="shared" si="6"/>
        <v>659414.2157041271</v>
      </c>
      <c r="T31" s="22">
        <v>18</v>
      </c>
      <c r="V31" s="10">
        <f t="shared" si="11"/>
        <v>1256473.506954984</v>
      </c>
      <c r="W31" s="10">
        <f t="shared" si="7"/>
        <v>1641301.9698487329</v>
      </c>
      <c r="X31" s="10">
        <f t="shared" si="8"/>
        <v>2897775.4768037172</v>
      </c>
    </row>
    <row r="32" spans="6:24" x14ac:dyDescent="0.25">
      <c r="F32" s="22">
        <v>19</v>
      </c>
      <c r="J32" s="26">
        <v>19</v>
      </c>
      <c r="L32" s="10">
        <f t="shared" si="1"/>
        <v>301992.82325238554</v>
      </c>
      <c r="M32" s="10">
        <f t="shared" si="2"/>
        <v>413705.64347307489</v>
      </c>
      <c r="N32" s="10">
        <f t="shared" si="3"/>
        <v>715698.46672546049</v>
      </c>
      <c r="O32" s="22">
        <v>19</v>
      </c>
      <c r="Q32" s="28">
        <f t="shared" si="4"/>
        <v>187971.25797765754</v>
      </c>
      <c r="R32" s="28">
        <f t="shared" si="5"/>
        <v>471442.9577264695</v>
      </c>
      <c r="S32" s="28">
        <f t="shared" si="6"/>
        <v>659414.21570412698</v>
      </c>
      <c r="T32" s="22">
        <v>19</v>
      </c>
      <c r="V32" s="10">
        <f t="shared" si="11"/>
        <v>1302963.0267123186</v>
      </c>
      <c r="W32" s="10">
        <f t="shared" si="7"/>
        <v>1594812.4500913986</v>
      </c>
      <c r="X32" s="10">
        <f t="shared" si="8"/>
        <v>2897775.4768037172</v>
      </c>
    </row>
    <row r="33" spans="6:24" x14ac:dyDescent="0.25">
      <c r="F33" s="22">
        <v>20</v>
      </c>
      <c r="J33" s="26">
        <v>20</v>
      </c>
      <c r="L33" s="10">
        <f t="shared" si="1"/>
        <v>314072.53618248098</v>
      </c>
      <c r="M33" s="10">
        <f t="shared" si="2"/>
        <v>401625.93054297945</v>
      </c>
      <c r="N33" s="10">
        <f t="shared" si="3"/>
        <v>715698.46672546049</v>
      </c>
      <c r="O33" s="22">
        <v>20</v>
      </c>
      <c r="Q33" s="28">
        <f t="shared" si="4"/>
        <v>195490.10829676382</v>
      </c>
      <c r="R33" s="28">
        <f t="shared" si="5"/>
        <v>463924.10740736313</v>
      </c>
      <c r="S33" s="28">
        <f t="shared" si="6"/>
        <v>659414.21570412698</v>
      </c>
      <c r="T33" s="22">
        <v>20</v>
      </c>
      <c r="V33" s="10">
        <f t="shared" si="11"/>
        <v>1351172.6587006743</v>
      </c>
      <c r="W33" s="10">
        <f t="shared" si="7"/>
        <v>1546602.8181030429</v>
      </c>
      <c r="X33" s="10">
        <f t="shared" si="8"/>
        <v>2897775.4768037172</v>
      </c>
    </row>
    <row r="34" spans="6:24" x14ac:dyDescent="0.25">
      <c r="F34" s="22">
        <v>21</v>
      </c>
      <c r="J34" s="26">
        <v>21</v>
      </c>
      <c r="L34" s="10">
        <f t="shared" si="1"/>
        <v>326635.43762978027</v>
      </c>
      <c r="M34" s="10">
        <f t="shared" si="2"/>
        <v>389063.02909568022</v>
      </c>
      <c r="N34" s="10">
        <f t="shared" si="3"/>
        <v>715698.46672546049</v>
      </c>
      <c r="O34" s="22">
        <v>21</v>
      </c>
      <c r="Q34" s="28">
        <f t="shared" si="4"/>
        <v>203309.71262863441</v>
      </c>
      <c r="R34" s="28">
        <f t="shared" si="5"/>
        <v>456104.50307549263</v>
      </c>
      <c r="S34" s="28">
        <f t="shared" si="6"/>
        <v>659414.21570412698</v>
      </c>
      <c r="T34" s="22">
        <v>21</v>
      </c>
      <c r="V34" s="10">
        <f t="shared" si="11"/>
        <v>1401166.0470725992</v>
      </c>
      <c r="W34" s="10">
        <f t="shared" si="7"/>
        <v>1496609.4297311176</v>
      </c>
      <c r="X34" s="10">
        <f t="shared" si="8"/>
        <v>2897775.4768037167</v>
      </c>
    </row>
    <row r="35" spans="6:24" x14ac:dyDescent="0.25">
      <c r="F35" s="22">
        <v>22</v>
      </c>
      <c r="J35" s="26">
        <v>22</v>
      </c>
      <c r="L35" s="10">
        <f t="shared" si="1"/>
        <v>339700.85513497144</v>
      </c>
      <c r="M35" s="10">
        <f t="shared" si="2"/>
        <v>375997.61159048899</v>
      </c>
      <c r="N35" s="10">
        <f t="shared" si="3"/>
        <v>715698.46672546049</v>
      </c>
      <c r="O35" s="22">
        <v>22</v>
      </c>
      <c r="Q35" s="28">
        <f t="shared" si="4"/>
        <v>211442.10113377974</v>
      </c>
      <c r="R35" s="28">
        <f t="shared" si="5"/>
        <v>447972.1145703473</v>
      </c>
      <c r="S35" s="28">
        <f t="shared" si="6"/>
        <v>659414.21570412698</v>
      </c>
      <c r="T35" s="22">
        <v>22</v>
      </c>
      <c r="V35" s="10">
        <f t="shared" si="11"/>
        <v>1453009.1908142855</v>
      </c>
      <c r="W35" s="10">
        <f t="shared" si="7"/>
        <v>1444766.2859894319</v>
      </c>
      <c r="X35" s="10">
        <f t="shared" si="8"/>
        <v>2897775.4768037172</v>
      </c>
    </row>
    <row r="36" spans="6:24" x14ac:dyDescent="0.25">
      <c r="F36" s="22">
        <v>23</v>
      </c>
      <c r="J36" s="26">
        <v>23</v>
      </c>
      <c r="L36" s="10">
        <f t="shared" si="1"/>
        <v>353288.88934037031</v>
      </c>
      <c r="M36" s="10">
        <f t="shared" si="2"/>
        <v>362409.57738509018</v>
      </c>
      <c r="N36" s="10">
        <f t="shared" si="3"/>
        <v>715698.46672546049</v>
      </c>
      <c r="O36" s="22">
        <v>23</v>
      </c>
      <c r="Q36" s="28">
        <f t="shared" si="4"/>
        <v>219899.78517913094</v>
      </c>
      <c r="R36" s="28">
        <f t="shared" si="5"/>
        <v>439514.43052499607</v>
      </c>
      <c r="S36" s="28">
        <f t="shared" si="6"/>
        <v>659414.21570412698</v>
      </c>
      <c r="T36" s="22">
        <v>23</v>
      </c>
      <c r="V36" s="10">
        <f t="shared" si="11"/>
        <v>1506770.5308744141</v>
      </c>
      <c r="W36" s="10">
        <f t="shared" si="7"/>
        <v>1391004.9459293031</v>
      </c>
      <c r="X36" s="10">
        <f t="shared" si="8"/>
        <v>2897775.4768037172</v>
      </c>
    </row>
    <row r="37" spans="6:24" x14ac:dyDescent="0.25">
      <c r="F37" s="22">
        <v>24</v>
      </c>
      <c r="J37" s="26">
        <v>24</v>
      </c>
      <c r="L37" s="10">
        <f t="shared" si="1"/>
        <v>367420.44491398509</v>
      </c>
      <c r="M37" s="10">
        <f t="shared" si="2"/>
        <v>348278.02181147534</v>
      </c>
      <c r="N37" s="10">
        <f t="shared" si="3"/>
        <v>715698.46672546049</v>
      </c>
      <c r="O37" s="22">
        <v>24</v>
      </c>
      <c r="Q37" s="28">
        <f t="shared" si="4"/>
        <v>228695.77658629618</v>
      </c>
      <c r="R37" s="28">
        <f t="shared" si="5"/>
        <v>430718.43911783077</v>
      </c>
      <c r="S37" s="28">
        <f t="shared" si="6"/>
        <v>659414.21570412698</v>
      </c>
      <c r="T37" s="22">
        <v>24</v>
      </c>
      <c r="V37" s="10">
        <f t="shared" si="11"/>
        <v>1562521.0405167672</v>
      </c>
      <c r="W37" s="10">
        <f t="shared" si="7"/>
        <v>1335254.4362869498</v>
      </c>
      <c r="X37" s="10">
        <f t="shared" si="8"/>
        <v>2897775.4768037172</v>
      </c>
    </row>
    <row r="38" spans="6:24" x14ac:dyDescent="0.25">
      <c r="F38" s="22">
        <v>25</v>
      </c>
      <c r="J38" s="26">
        <v>25</v>
      </c>
      <c r="L38" s="10">
        <f t="shared" si="1"/>
        <v>382117.26271054457</v>
      </c>
      <c r="M38" s="10">
        <f t="shared" si="2"/>
        <v>333581.20401491591</v>
      </c>
      <c r="N38" s="10">
        <f t="shared" si="3"/>
        <v>715698.46672546049</v>
      </c>
      <c r="O38" s="22">
        <v>25</v>
      </c>
      <c r="Q38" s="28">
        <f t="shared" si="4"/>
        <v>237843.60764974804</v>
      </c>
      <c r="R38" s="28">
        <f t="shared" si="5"/>
        <v>421570.608054379</v>
      </c>
      <c r="S38" s="28">
        <f t="shared" si="6"/>
        <v>659414.21570412698</v>
      </c>
      <c r="T38" s="22">
        <v>25</v>
      </c>
      <c r="V38" s="10">
        <f t="shared" si="11"/>
        <v>1620334.3190158878</v>
      </c>
      <c r="W38" s="10">
        <f t="shared" si="7"/>
        <v>1277441.1577878296</v>
      </c>
      <c r="X38" s="10">
        <f t="shared" si="8"/>
        <v>2897775.4768037172</v>
      </c>
    </row>
    <row r="39" spans="6:24" x14ac:dyDescent="0.25">
      <c r="F39" s="22">
        <v>26</v>
      </c>
      <c r="J39" s="26">
        <v>26</v>
      </c>
      <c r="L39" s="10">
        <f t="shared" si="1"/>
        <v>397401.95321896637</v>
      </c>
      <c r="M39" s="10">
        <f t="shared" si="2"/>
        <v>318296.51350649423</v>
      </c>
      <c r="N39" s="10">
        <f t="shared" si="3"/>
        <v>715698.4667254606</v>
      </c>
      <c r="O39" s="22">
        <v>26</v>
      </c>
      <c r="Q39" s="28">
        <f t="shared" si="4"/>
        <v>247357.35195573795</v>
      </c>
      <c r="R39" s="28">
        <f t="shared" si="5"/>
        <v>412056.86374838912</v>
      </c>
      <c r="S39" s="28">
        <f t="shared" si="6"/>
        <v>659414.2157041271</v>
      </c>
      <c r="T39" s="22">
        <v>26</v>
      </c>
      <c r="V39" s="10">
        <f t="shared" si="11"/>
        <v>1680286.6888194755</v>
      </c>
      <c r="W39" s="10">
        <f t="shared" si="7"/>
        <v>1217488.7879842415</v>
      </c>
      <c r="X39" s="10">
        <f t="shared" si="8"/>
        <v>2897775.4768037172</v>
      </c>
    </row>
    <row r="40" spans="6:24" x14ac:dyDescent="0.25">
      <c r="F40" s="22">
        <v>27</v>
      </c>
      <c r="J40" s="26">
        <v>27</v>
      </c>
      <c r="L40" s="10">
        <f t="shared" si="1"/>
        <v>413298.03134772496</v>
      </c>
      <c r="M40" s="10">
        <f t="shared" si="2"/>
        <v>302400.43537773553</v>
      </c>
      <c r="N40" s="10">
        <f t="shared" si="3"/>
        <v>715698.46672546049</v>
      </c>
      <c r="O40" s="22">
        <v>27</v>
      </c>
      <c r="Q40" s="28">
        <f t="shared" si="4"/>
        <v>257251.64603396747</v>
      </c>
      <c r="R40" s="28">
        <f t="shared" si="5"/>
        <v>402162.56967015954</v>
      </c>
      <c r="S40" s="28">
        <f t="shared" si="6"/>
        <v>659414.21570412698</v>
      </c>
      <c r="T40" s="22">
        <v>27</v>
      </c>
      <c r="V40" s="10">
        <f t="shared" si="11"/>
        <v>1742457.2963057961</v>
      </c>
      <c r="W40" s="10">
        <f t="shared" si="7"/>
        <v>1155318.1804979208</v>
      </c>
      <c r="X40" s="10">
        <f t="shared" si="8"/>
        <v>2897775.4768037172</v>
      </c>
    </row>
    <row r="41" spans="6:24" x14ac:dyDescent="0.25">
      <c r="F41" s="22">
        <v>28</v>
      </c>
      <c r="J41" s="26">
        <v>28</v>
      </c>
      <c r="L41" s="10">
        <f t="shared" si="1"/>
        <v>429829.95260163391</v>
      </c>
      <c r="M41" s="10">
        <f t="shared" si="2"/>
        <v>285868.51412382658</v>
      </c>
      <c r="N41" s="10">
        <f t="shared" si="3"/>
        <v>715698.46672546049</v>
      </c>
      <c r="O41" s="22">
        <v>28</v>
      </c>
      <c r="Q41" s="28">
        <f t="shared" si="4"/>
        <v>267541.71187532617</v>
      </c>
      <c r="R41" s="28">
        <f t="shared" si="5"/>
        <v>391872.50382880087</v>
      </c>
      <c r="S41" s="28">
        <f t="shared" si="6"/>
        <v>659414.21570412698</v>
      </c>
      <c r="T41" s="22">
        <v>28</v>
      </c>
      <c r="V41" s="10">
        <f t="shared" si="11"/>
        <v>1806928.2162691108</v>
      </c>
      <c r="W41" s="10">
        <f t="shared" si="7"/>
        <v>1090847.2605346066</v>
      </c>
      <c r="X41" s="10">
        <f t="shared" si="8"/>
        <v>2897775.4768037172</v>
      </c>
    </row>
    <row r="42" spans="6:24" x14ac:dyDescent="0.25">
      <c r="F42" s="22">
        <v>29</v>
      </c>
      <c r="J42" s="26">
        <v>29</v>
      </c>
      <c r="L42" s="10">
        <f t="shared" si="1"/>
        <v>447023.15070569934</v>
      </c>
      <c r="M42" s="10">
        <f t="shared" si="2"/>
        <v>268675.31601976114</v>
      </c>
      <c r="N42" s="10">
        <f t="shared" si="3"/>
        <v>715698.46672546049</v>
      </c>
      <c r="O42" s="22">
        <v>29</v>
      </c>
      <c r="Q42" s="28">
        <f t="shared" si="4"/>
        <v>278243.38035033917</v>
      </c>
      <c r="R42" s="28">
        <f t="shared" si="5"/>
        <v>381170.83535378776</v>
      </c>
      <c r="S42" s="28">
        <f t="shared" si="6"/>
        <v>659414.21570412698</v>
      </c>
      <c r="T42" s="22">
        <v>29</v>
      </c>
      <c r="V42" s="10">
        <f t="shared" si="11"/>
        <v>1873784.5602710678</v>
      </c>
      <c r="W42" s="10">
        <f t="shared" si="7"/>
        <v>1023990.9165326492</v>
      </c>
      <c r="X42" s="10">
        <f t="shared" si="8"/>
        <v>2897775.4768037172</v>
      </c>
    </row>
    <row r="43" spans="6:24" x14ac:dyDescent="0.25">
      <c r="F43" s="22">
        <v>30</v>
      </c>
      <c r="J43" s="26">
        <v>30</v>
      </c>
      <c r="L43" s="10">
        <f t="shared" si="1"/>
        <v>464904.0767339273</v>
      </c>
      <c r="M43" s="10">
        <f t="shared" si="2"/>
        <v>250794.38999153321</v>
      </c>
      <c r="N43" s="10">
        <f t="shared" si="3"/>
        <v>715698.46672546049</v>
      </c>
      <c r="O43" s="22">
        <v>30</v>
      </c>
      <c r="Q43" s="28">
        <f t="shared" si="4"/>
        <v>289373.11556435277</v>
      </c>
      <c r="R43" s="28">
        <f t="shared" si="5"/>
        <v>370041.10013977427</v>
      </c>
      <c r="S43" s="28">
        <f t="shared" si="6"/>
        <v>659414.21570412698</v>
      </c>
      <c r="T43" s="22">
        <v>30</v>
      </c>
      <c r="V43" s="10">
        <f t="shared" si="11"/>
        <v>1943114.5890010973</v>
      </c>
      <c r="W43" s="10">
        <f t="shared" si="7"/>
        <v>954660.88780261984</v>
      </c>
      <c r="X43" s="10">
        <f t="shared" si="8"/>
        <v>2897775.4768037172</v>
      </c>
    </row>
    <row r="44" spans="6:24" x14ac:dyDescent="0.25">
      <c r="F44" s="22">
        <v>31</v>
      </c>
      <c r="J44" s="26">
        <v>31</v>
      </c>
      <c r="L44" s="10">
        <f t="shared" si="1"/>
        <v>483500.23980328435</v>
      </c>
      <c r="M44" s="10">
        <f t="shared" si="2"/>
        <v>232198.22692217608</v>
      </c>
      <c r="N44" s="10">
        <f t="shared" si="3"/>
        <v>715698.46672546049</v>
      </c>
      <c r="O44" s="22">
        <v>31</v>
      </c>
      <c r="Q44" s="28">
        <f t="shared" si="4"/>
        <v>300948.0401869269</v>
      </c>
      <c r="R44" s="28">
        <f t="shared" si="5"/>
        <v>358466.17551720008</v>
      </c>
      <c r="S44" s="28">
        <f t="shared" si="6"/>
        <v>659414.21570412698</v>
      </c>
      <c r="T44" s="22">
        <v>31</v>
      </c>
      <c r="V44" s="10">
        <f t="shared" si="11"/>
        <v>2015009.8287941378</v>
      </c>
      <c r="W44" s="10">
        <f t="shared" si="7"/>
        <v>882765.64800957916</v>
      </c>
      <c r="X44" s="10">
        <f t="shared" si="8"/>
        <v>2897775.4768037172</v>
      </c>
    </row>
    <row r="45" spans="6:24" x14ac:dyDescent="0.25">
      <c r="F45" s="22">
        <v>32</v>
      </c>
      <c r="J45" s="26">
        <v>32</v>
      </c>
      <c r="L45" s="10">
        <f t="shared" si="1"/>
        <v>502840.24939541571</v>
      </c>
      <c r="M45" s="10">
        <f t="shared" si="2"/>
        <v>212858.21733004469</v>
      </c>
      <c r="N45" s="10">
        <f t="shared" si="3"/>
        <v>715698.46672546037</v>
      </c>
      <c r="O45" s="22">
        <v>32</v>
      </c>
      <c r="Q45" s="28">
        <f t="shared" si="4"/>
        <v>312985.96179440396</v>
      </c>
      <c r="R45" s="28">
        <f t="shared" si="5"/>
        <v>346428.25390972302</v>
      </c>
      <c r="S45" s="28">
        <f t="shared" si="6"/>
        <v>659414.21570412698</v>
      </c>
      <c r="T45" s="22">
        <v>32</v>
      </c>
      <c r="V45" s="10">
        <f t="shared" si="11"/>
        <v>2089565.1924595213</v>
      </c>
      <c r="W45" s="10">
        <f t="shared" si="7"/>
        <v>808210.2843441962</v>
      </c>
      <c r="X45" s="10">
        <f t="shared" si="8"/>
        <v>2897775.4768037177</v>
      </c>
    </row>
    <row r="46" spans="6:24" x14ac:dyDescent="0.25">
      <c r="F46" s="22">
        <v>33</v>
      </c>
      <c r="J46" s="26">
        <v>33</v>
      </c>
      <c r="L46" s="10">
        <f t="shared" si="1"/>
        <v>522953.85937123233</v>
      </c>
      <c r="M46" s="10">
        <f t="shared" si="2"/>
        <v>192744.60735422809</v>
      </c>
      <c r="N46" s="10">
        <f t="shared" si="3"/>
        <v>715698.46672546049</v>
      </c>
      <c r="O46" s="22">
        <v>33</v>
      </c>
      <c r="Q46" s="28">
        <f t="shared" si="4"/>
        <v>325505.40026618011</v>
      </c>
      <c r="R46" s="28">
        <f t="shared" si="5"/>
        <v>333908.81543794693</v>
      </c>
      <c r="S46" s="28">
        <f t="shared" si="6"/>
        <v>659414.21570412698</v>
      </c>
      <c r="T46" s="22">
        <v>33</v>
      </c>
      <c r="V46" s="10">
        <f t="shared" si="11"/>
        <v>2166879.1045805234</v>
      </c>
      <c r="W46" s="10">
        <f t="shared" si="7"/>
        <v>730896.37222319376</v>
      </c>
      <c r="X46" s="10">
        <f t="shared" si="8"/>
        <v>2897775.4768037172</v>
      </c>
    </row>
    <row r="47" spans="6:24" x14ac:dyDescent="0.25">
      <c r="F47" s="22">
        <v>34</v>
      </c>
      <c r="J47" s="26">
        <v>34</v>
      </c>
      <c r="L47" s="10">
        <f t="shared" si="1"/>
        <v>543872.01374608162</v>
      </c>
      <c r="M47" s="10">
        <f t="shared" si="2"/>
        <v>171826.45297937878</v>
      </c>
      <c r="N47" s="10">
        <f t="shared" si="3"/>
        <v>715698.46672546037</v>
      </c>
      <c r="O47" s="22">
        <v>34</v>
      </c>
      <c r="Q47" s="28">
        <f t="shared" si="4"/>
        <v>338525.61627682729</v>
      </c>
      <c r="R47" s="28">
        <f t="shared" si="5"/>
        <v>320888.59942729969</v>
      </c>
      <c r="S47" s="28">
        <f t="shared" si="6"/>
        <v>659414.21570412698</v>
      </c>
      <c r="T47" s="22">
        <v>34</v>
      </c>
      <c r="V47" s="10">
        <f t="shared" si="11"/>
        <v>2247053.6314500025</v>
      </c>
      <c r="W47" s="10">
        <f t="shared" si="7"/>
        <v>650721.84535371454</v>
      </c>
      <c r="X47" s="10">
        <f t="shared" si="8"/>
        <v>2897775.4768037172</v>
      </c>
    </row>
    <row r="48" spans="6:24" x14ac:dyDescent="0.25">
      <c r="F48" s="22">
        <v>35</v>
      </c>
      <c r="J48" s="26">
        <v>35</v>
      </c>
      <c r="L48" s="10">
        <f t="shared" si="1"/>
        <v>565626.89429592493</v>
      </c>
      <c r="M48" s="10">
        <f t="shared" si="2"/>
        <v>150071.57242953553</v>
      </c>
      <c r="N48" s="10">
        <f t="shared" si="3"/>
        <v>715698.46672546049</v>
      </c>
      <c r="O48" s="22">
        <v>35</v>
      </c>
      <c r="Q48" s="28">
        <f t="shared" si="4"/>
        <v>352066.64092790044</v>
      </c>
      <c r="R48" s="28">
        <f t="shared" si="5"/>
        <v>307347.5747762266</v>
      </c>
      <c r="S48" s="28">
        <f t="shared" si="6"/>
        <v>659414.21570412698</v>
      </c>
      <c r="T48" s="22">
        <v>35</v>
      </c>
      <c r="V48" s="10">
        <f t="shared" si="11"/>
        <v>2330194.615813653</v>
      </c>
      <c r="W48" s="10">
        <f t="shared" si="7"/>
        <v>567580.86099006434</v>
      </c>
      <c r="X48" s="10">
        <f t="shared" si="8"/>
        <v>2897775.4768037172</v>
      </c>
    </row>
    <row r="49" spans="6:24" x14ac:dyDescent="0.25">
      <c r="F49" s="22">
        <v>36</v>
      </c>
      <c r="J49" s="26">
        <v>36</v>
      </c>
      <c r="L49" s="10">
        <f t="shared" si="1"/>
        <v>588251.97006776195</v>
      </c>
      <c r="M49" s="10">
        <f t="shared" si="2"/>
        <v>127446.49665769853</v>
      </c>
      <c r="N49" s="10">
        <f t="shared" si="3"/>
        <v>715698.46672546049</v>
      </c>
      <c r="O49" s="22">
        <v>36</v>
      </c>
      <c r="Q49" s="28">
        <f t="shared" si="4"/>
        <v>366149.30656501651</v>
      </c>
      <c r="R49" s="28">
        <f t="shared" si="5"/>
        <v>293264.90913911065</v>
      </c>
      <c r="S49" s="28">
        <f t="shared" si="6"/>
        <v>659414.21570412721</v>
      </c>
      <c r="T49" s="22">
        <v>36</v>
      </c>
      <c r="V49" s="10">
        <f t="shared" si="11"/>
        <v>2416411.8165987576</v>
      </c>
      <c r="W49" s="10">
        <f t="shared" si="7"/>
        <v>481363.66020495922</v>
      </c>
      <c r="X49" s="10">
        <f t="shared" si="8"/>
        <v>2897775.4768037167</v>
      </c>
    </row>
    <row r="50" spans="6:24" x14ac:dyDescent="0.25">
      <c r="F50" s="22">
        <v>37</v>
      </c>
      <c r="J50" s="26">
        <v>37</v>
      </c>
      <c r="L50" s="10">
        <f t="shared" si="1"/>
        <v>611782.04887047235</v>
      </c>
      <c r="M50" s="10">
        <f t="shared" si="2"/>
        <v>103916.41785498807</v>
      </c>
      <c r="N50" s="10">
        <f t="shared" si="3"/>
        <v>715698.46672546049</v>
      </c>
      <c r="O50" s="22">
        <v>37</v>
      </c>
      <c r="Q50" s="28">
        <f t="shared" si="4"/>
        <v>380795.27882761712</v>
      </c>
      <c r="R50" s="28">
        <f t="shared" si="5"/>
        <v>278618.93687650992</v>
      </c>
      <c r="S50" s="28">
        <f t="shared" si="6"/>
        <v>659414.21570412698</v>
      </c>
      <c r="T50" s="22">
        <v>37</v>
      </c>
      <c r="V50" s="10">
        <f t="shared" si="11"/>
        <v>2505819.0538129122</v>
      </c>
      <c r="W50" s="10">
        <f t="shared" si="7"/>
        <v>391956.42299080518</v>
      </c>
      <c r="X50" s="10">
        <f t="shared" si="8"/>
        <v>2897775.4768037172</v>
      </c>
    </row>
    <row r="51" spans="6:24" x14ac:dyDescent="0.25">
      <c r="F51" s="22">
        <v>38</v>
      </c>
      <c r="J51" s="26">
        <v>38</v>
      </c>
      <c r="L51" s="10">
        <f t="shared" si="1"/>
        <v>636253.33082529134</v>
      </c>
      <c r="M51" s="10">
        <f t="shared" si="2"/>
        <v>79445.135900169174</v>
      </c>
      <c r="N51" s="10">
        <f t="shared" si="3"/>
        <v>715698.46672546049</v>
      </c>
      <c r="O51" s="22">
        <v>38</v>
      </c>
      <c r="Q51" s="28">
        <f t="shared" si="4"/>
        <v>396027.08998072176</v>
      </c>
      <c r="R51" s="28">
        <f t="shared" si="5"/>
        <v>263387.12572340528</v>
      </c>
      <c r="S51" s="28">
        <f t="shared" si="6"/>
        <v>659414.21570412698</v>
      </c>
      <c r="T51" s="22">
        <v>38</v>
      </c>
      <c r="V51" s="10">
        <f t="shared" si="11"/>
        <v>2598534.3588039898</v>
      </c>
      <c r="W51" s="10">
        <f t="shared" si="7"/>
        <v>299241.11799972737</v>
      </c>
      <c r="X51" s="10">
        <f t="shared" si="8"/>
        <v>2897775.4768037172</v>
      </c>
    </row>
    <row r="52" spans="6:24" x14ac:dyDescent="0.25">
      <c r="F52" s="22">
        <v>39</v>
      </c>
      <c r="J52" s="26">
        <v>39</v>
      </c>
      <c r="L52" s="10">
        <f t="shared" si="1"/>
        <v>661703.46405830292</v>
      </c>
      <c r="M52" s="10">
        <f t="shared" si="2"/>
        <v>53995.002667157518</v>
      </c>
      <c r="N52" s="10">
        <f t="shared" si="3"/>
        <v>715698.46672546049</v>
      </c>
      <c r="O52" s="22">
        <v>39</v>
      </c>
      <c r="Q52" s="28">
        <f t="shared" si="4"/>
        <v>411868.1735799507</v>
      </c>
      <c r="R52" s="28">
        <f t="shared" si="5"/>
        <v>247546.0421241764</v>
      </c>
      <c r="S52" s="28">
        <f t="shared" si="6"/>
        <v>659414.2157041271</v>
      </c>
      <c r="T52" s="22">
        <v>39</v>
      </c>
      <c r="V52" s="10">
        <f t="shared" si="11"/>
        <v>2694680.1300797374</v>
      </c>
      <c r="W52" s="10">
        <f t="shared" si="7"/>
        <v>203095.34672397972</v>
      </c>
      <c r="X52" s="10">
        <f t="shared" si="8"/>
        <v>2897775.4768037172</v>
      </c>
    </row>
    <row r="53" spans="6:24" x14ac:dyDescent="0.25">
      <c r="F53" s="22">
        <v>40</v>
      </c>
      <c r="J53" s="26">
        <v>40</v>
      </c>
      <c r="L53" s="10">
        <f t="shared" si="1"/>
        <v>688171.60262063507</v>
      </c>
      <c r="M53" s="10">
        <f t="shared" si="2"/>
        <v>27526.864104825403</v>
      </c>
      <c r="N53" s="10">
        <f t="shared" si="3"/>
        <v>715698.46672546049</v>
      </c>
      <c r="O53" s="22">
        <v>40</v>
      </c>
      <c r="Q53" s="28">
        <f t="shared" si="4"/>
        <v>428342.90052314871</v>
      </c>
      <c r="R53" s="28">
        <f t="shared" si="5"/>
        <v>231071.31518097836</v>
      </c>
      <c r="S53" s="28">
        <f t="shared" si="6"/>
        <v>659414.2157041271</v>
      </c>
      <c r="T53" s="22">
        <v>40</v>
      </c>
      <c r="V53" s="10">
        <f t="shared" si="11"/>
        <v>2794383.2948926874</v>
      </c>
      <c r="W53" s="10">
        <f t="shared" si="7"/>
        <v>103392.18191102946</v>
      </c>
      <c r="X53" s="10">
        <f t="shared" si="8"/>
        <v>2897775.4768037167</v>
      </c>
    </row>
    <row r="54" spans="6:24" x14ac:dyDescent="0.25">
      <c r="F54" s="22">
        <v>41</v>
      </c>
      <c r="O54" s="22">
        <v>41</v>
      </c>
      <c r="Q54" s="28">
        <f t="shared" si="4"/>
        <v>445476.61654407467</v>
      </c>
      <c r="R54" s="28">
        <f t="shared" si="5"/>
        <v>213937.5991600524</v>
      </c>
      <c r="S54" s="28">
        <f t="shared" ref="S54:S63" si="12">Q54+R54</f>
        <v>659414.2157041271</v>
      </c>
      <c r="T54" s="22">
        <v>41</v>
      </c>
      <c r="V54" s="10"/>
      <c r="W54" s="10"/>
      <c r="X54" s="10"/>
    </row>
    <row r="55" spans="6:24" x14ac:dyDescent="0.25">
      <c r="F55" s="22">
        <v>42</v>
      </c>
      <c r="O55" s="22">
        <v>42</v>
      </c>
      <c r="Q55" s="28">
        <f t="shared" si="4"/>
        <v>463295.68120583758</v>
      </c>
      <c r="R55" s="28">
        <f t="shared" si="5"/>
        <v>196118.53449828943</v>
      </c>
      <c r="S55" s="28">
        <f t="shared" si="12"/>
        <v>659414.21570412698</v>
      </c>
      <c r="T55" s="22">
        <v>42</v>
      </c>
      <c r="V55" s="10"/>
      <c r="W55" s="10"/>
      <c r="X55" s="10"/>
    </row>
    <row r="56" spans="6:24" x14ac:dyDescent="0.25">
      <c r="F56" s="22">
        <v>43</v>
      </c>
      <c r="O56" s="22">
        <v>43</v>
      </c>
      <c r="Q56" s="28">
        <f t="shared" si="4"/>
        <v>481827.50845407107</v>
      </c>
      <c r="R56" s="28">
        <f t="shared" si="5"/>
        <v>177586.70725005589</v>
      </c>
      <c r="S56" s="28">
        <f t="shared" si="12"/>
        <v>659414.21570412698</v>
      </c>
      <c r="T56" s="22">
        <v>43</v>
      </c>
      <c r="V56" s="10"/>
      <c r="W56" s="10"/>
      <c r="X56" s="10"/>
    </row>
    <row r="57" spans="6:24" x14ac:dyDescent="0.25">
      <c r="F57" s="22">
        <v>44</v>
      </c>
      <c r="O57" s="22">
        <v>44</v>
      </c>
      <c r="Q57" s="28">
        <f t="shared" si="4"/>
        <v>501100.60879223398</v>
      </c>
      <c r="R57" s="28">
        <f t="shared" si="5"/>
        <v>158313.60691189309</v>
      </c>
      <c r="S57" s="28">
        <f t="shared" si="12"/>
        <v>659414.2157041271</v>
      </c>
      <c r="T57" s="22">
        <v>44</v>
      </c>
      <c r="V57" s="10"/>
      <c r="W57" s="10"/>
      <c r="X57" s="10"/>
    </row>
    <row r="58" spans="6:24" x14ac:dyDescent="0.25">
      <c r="F58" s="22">
        <v>45</v>
      </c>
      <c r="O58" s="22">
        <v>45</v>
      </c>
      <c r="Q58" s="28">
        <f t="shared" si="4"/>
        <v>521144.6331439233</v>
      </c>
      <c r="R58" s="28">
        <f t="shared" si="5"/>
        <v>138269.58256020371</v>
      </c>
      <c r="S58" s="28">
        <f t="shared" si="12"/>
        <v>659414.21570412698</v>
      </c>
      <c r="T58" s="22">
        <v>45</v>
      </c>
      <c r="V58" s="10"/>
      <c r="W58" s="10"/>
      <c r="X58" s="10"/>
    </row>
    <row r="59" spans="6:24" x14ac:dyDescent="0.25">
      <c r="F59" s="22">
        <v>46</v>
      </c>
      <c r="O59" s="22">
        <v>46</v>
      </c>
      <c r="Q59" s="28">
        <f t="shared" si="4"/>
        <v>541990.41846968024</v>
      </c>
      <c r="R59" s="28">
        <f t="shared" si="5"/>
        <v>117423.79723444679</v>
      </c>
      <c r="S59" s="28">
        <f t="shared" si="12"/>
        <v>659414.21570412698</v>
      </c>
      <c r="T59" s="10"/>
    </row>
    <row r="60" spans="6:24" x14ac:dyDescent="0.25">
      <c r="F60" s="22">
        <v>47</v>
      </c>
      <c r="O60" s="22">
        <v>47</v>
      </c>
      <c r="Q60" s="28">
        <f t="shared" si="4"/>
        <v>563670.03520846739</v>
      </c>
      <c r="R60" s="28">
        <f t="shared" si="5"/>
        <v>95744.180495659573</v>
      </c>
      <c r="S60" s="28">
        <f t="shared" si="12"/>
        <v>659414.21570412698</v>
      </c>
      <c r="T60" s="10"/>
    </row>
    <row r="61" spans="6:24" x14ac:dyDescent="0.25">
      <c r="F61" s="22">
        <v>48</v>
      </c>
      <c r="O61" s="22">
        <v>48</v>
      </c>
      <c r="Q61" s="28">
        <f t="shared" si="4"/>
        <v>586216.83661680622</v>
      </c>
      <c r="R61" s="28">
        <f t="shared" si="5"/>
        <v>73197.379087320878</v>
      </c>
      <c r="S61" s="28">
        <f t="shared" si="12"/>
        <v>659414.2157041271</v>
      </c>
      <c r="T61" s="10"/>
    </row>
    <row r="62" spans="6:24" x14ac:dyDescent="0.25">
      <c r="F62" s="22">
        <v>49</v>
      </c>
      <c r="O62" s="22">
        <v>49</v>
      </c>
      <c r="Q62" s="28">
        <f t="shared" si="4"/>
        <v>609665.51008147839</v>
      </c>
      <c r="R62" s="28">
        <f t="shared" si="5"/>
        <v>49748.705622648638</v>
      </c>
      <c r="S62" s="28">
        <f t="shared" si="12"/>
        <v>659414.21570412698</v>
      </c>
      <c r="T62" s="10"/>
    </row>
    <row r="63" spans="6:24" x14ac:dyDescent="0.25">
      <c r="F63" s="22">
        <v>50</v>
      </c>
      <c r="N63" s="10"/>
      <c r="O63" s="22">
        <v>50</v>
      </c>
      <c r="Q63" s="28">
        <f t="shared" si="4"/>
        <v>634052.13048473757</v>
      </c>
      <c r="R63" s="28">
        <f t="shared" si="5"/>
        <v>25362.085219389504</v>
      </c>
      <c r="S63" s="28">
        <f t="shared" si="12"/>
        <v>659414.2157041271</v>
      </c>
      <c r="T63" s="10"/>
    </row>
    <row r="64" spans="6:24" x14ac:dyDescent="0.25">
      <c r="I64" s="10">
        <f>SUM(I14:I63)</f>
        <v>4549172.9652059255</v>
      </c>
      <c r="N64" s="10">
        <f>SUM(N14:N63)</f>
        <v>28627938.669018436</v>
      </c>
      <c r="S64" s="28">
        <f>SUM(S14:S63)</f>
        <v>32970710.78520637</v>
      </c>
      <c r="T64" s="10"/>
      <c r="X64" s="10"/>
    </row>
    <row r="65" spans="18:24" ht="31.5" x14ac:dyDescent="0.25">
      <c r="R65" s="33" t="s">
        <v>88</v>
      </c>
      <c r="S65" s="34">
        <v>28627938.669018399</v>
      </c>
    </row>
    <row r="66" spans="18:24" x14ac:dyDescent="0.25">
      <c r="S66" s="35">
        <f>+I64+N64+S65</f>
        <v>61805050.303242758</v>
      </c>
      <c r="T66" s="10"/>
      <c r="X66" s="23">
        <f>SUM(X14:X65)</f>
        <v>115911019.07214876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41ED2-62A0-9D41-B901-A7D28DF01CCB}">
  <sheetPr>
    <tabColor theme="9" tint="0.79998168889431442"/>
  </sheetPr>
  <dimension ref="A1:I145"/>
  <sheetViews>
    <sheetView topLeftCell="A5" workbookViewId="0">
      <selection activeCell="F145" sqref="F145"/>
    </sheetView>
  </sheetViews>
  <sheetFormatPr defaultColWidth="11" defaultRowHeight="15.75" x14ac:dyDescent="0.25"/>
  <cols>
    <col min="1" max="1" width="25.125" customWidth="1"/>
    <col min="6" max="6" width="16" bestFit="1" customWidth="1"/>
    <col min="8" max="8" width="29.125" customWidth="1"/>
  </cols>
  <sheetData>
    <row r="1" spans="1:1" x14ac:dyDescent="0.25">
      <c r="A1" t="s">
        <v>91</v>
      </c>
    </row>
    <row r="2" spans="1:1" x14ac:dyDescent="0.25">
      <c r="A2" t="s">
        <v>92</v>
      </c>
    </row>
    <row r="26" spans="1:5" x14ac:dyDescent="0.25">
      <c r="A26" t="s">
        <v>95</v>
      </c>
      <c r="B26" s="1">
        <v>3275</v>
      </c>
      <c r="E26" s="1"/>
    </row>
    <row r="28" spans="1:5" x14ac:dyDescent="0.25">
      <c r="A28" t="s">
        <v>93</v>
      </c>
    </row>
    <row r="29" spans="1:5" x14ac:dyDescent="0.25">
      <c r="A29" t="s">
        <v>94</v>
      </c>
      <c r="B29">
        <f>B26/5280</f>
        <v>0.62026515151515149</v>
      </c>
    </row>
    <row r="30" spans="1:5" x14ac:dyDescent="0.25">
      <c r="A30" s="1" t="s">
        <v>96</v>
      </c>
      <c r="B30" s="36">
        <f>B29*160000</f>
        <v>99242.42424242424</v>
      </c>
    </row>
    <row r="32" spans="1:5" x14ac:dyDescent="0.25">
      <c r="A32" t="s">
        <v>97</v>
      </c>
    </row>
    <row r="33" spans="1:9" x14ac:dyDescent="0.25">
      <c r="A33" t="s">
        <v>98</v>
      </c>
    </row>
    <row r="34" spans="1:9" x14ac:dyDescent="0.25">
      <c r="A34" t="s">
        <v>99</v>
      </c>
    </row>
    <row r="35" spans="1:9" x14ac:dyDescent="0.25">
      <c r="A35" s="36">
        <f>604/(2024-1991)</f>
        <v>18.303030303030305</v>
      </c>
    </row>
    <row r="36" spans="1:9" x14ac:dyDescent="0.25">
      <c r="A36" t="s">
        <v>100</v>
      </c>
    </row>
    <row r="37" spans="1:9" x14ac:dyDescent="0.25">
      <c r="A37" t="s">
        <v>101</v>
      </c>
    </row>
    <row r="38" spans="1:9" ht="65.099999999999994" customHeight="1" x14ac:dyDescent="0.25">
      <c r="A38" s="58" t="s">
        <v>102</v>
      </c>
      <c r="B38" s="58"/>
      <c r="C38" s="58"/>
      <c r="D38" s="58"/>
      <c r="E38" s="58"/>
      <c r="F38" s="58"/>
    </row>
    <row r="41" spans="1:9" ht="94.5" x14ac:dyDescent="0.25">
      <c r="B41" s="7" t="s">
        <v>123</v>
      </c>
      <c r="C41" t="s">
        <v>103</v>
      </c>
      <c r="D41" s="7" t="s">
        <v>104</v>
      </c>
      <c r="E41" s="7" t="s">
        <v>105</v>
      </c>
      <c r="F41" s="7" t="s">
        <v>106</v>
      </c>
    </row>
    <row r="42" spans="1:9" x14ac:dyDescent="0.25">
      <c r="A42">
        <v>1</v>
      </c>
      <c r="B42">
        <v>18.3</v>
      </c>
      <c r="C42" s="37">
        <f>0.333*B42</f>
        <v>6.0939000000000005</v>
      </c>
      <c r="D42" s="13">
        <f>$I$42</f>
        <v>3275</v>
      </c>
      <c r="E42" s="46">
        <v>378</v>
      </c>
      <c r="F42" s="38">
        <f>C42*D42*E42</f>
        <v>7543943.5050000008</v>
      </c>
      <c r="H42" t="s">
        <v>95</v>
      </c>
      <c r="I42" s="1">
        <f>'DOT Resurfacings'!B9</f>
        <v>3275</v>
      </c>
    </row>
    <row r="43" spans="1:9" x14ac:dyDescent="0.25">
      <c r="A43">
        <v>2</v>
      </c>
      <c r="B43">
        <f>B42+(B42*0.005)</f>
        <v>18.391500000000001</v>
      </c>
      <c r="C43" s="37">
        <f t="shared" ref="C43:C106" si="0">0.333*B43</f>
        <v>6.1243695000000002</v>
      </c>
      <c r="D43" s="13">
        <f>$I$42</f>
        <v>3275</v>
      </c>
      <c r="E43" s="46">
        <v>378</v>
      </c>
      <c r="F43" s="38">
        <f>C43*D43*E43</f>
        <v>7581663.2225249996</v>
      </c>
    </row>
    <row r="44" spans="1:9" x14ac:dyDescent="0.25">
      <c r="A44">
        <v>3</v>
      </c>
      <c r="B44">
        <f t="shared" ref="B44:B66" si="1">B43+(B43*0.005)</f>
        <v>18.4834575</v>
      </c>
      <c r="C44" s="37">
        <f t="shared" si="0"/>
        <v>6.1549913475000002</v>
      </c>
      <c r="D44" s="13">
        <f t="shared" ref="D44:D106" si="2">$I$42</f>
        <v>3275</v>
      </c>
      <c r="E44" s="46">
        <v>378</v>
      </c>
      <c r="F44" s="38">
        <f t="shared" ref="F44:F106" si="3">C44*D44*E44</f>
        <v>7619571.5386376251</v>
      </c>
      <c r="H44" s="7"/>
      <c r="I44" s="1"/>
    </row>
    <row r="45" spans="1:9" x14ac:dyDescent="0.25">
      <c r="A45">
        <v>4</v>
      </c>
      <c r="B45">
        <f t="shared" si="1"/>
        <v>18.575874787499998</v>
      </c>
      <c r="C45" s="37">
        <f t="shared" si="0"/>
        <v>6.1857663042375002</v>
      </c>
      <c r="D45" s="13">
        <f t="shared" si="2"/>
        <v>3275</v>
      </c>
      <c r="E45" s="46">
        <v>378</v>
      </c>
      <c r="F45" s="38">
        <f t="shared" si="3"/>
        <v>7657669.3963308139</v>
      </c>
    </row>
    <row r="46" spans="1:9" x14ac:dyDescent="0.25">
      <c r="A46">
        <v>5</v>
      </c>
      <c r="B46">
        <f t="shared" si="1"/>
        <v>18.668754161437498</v>
      </c>
      <c r="C46" s="37">
        <f t="shared" si="0"/>
        <v>6.2166951357586875</v>
      </c>
      <c r="D46" s="13">
        <f t="shared" si="2"/>
        <v>3275</v>
      </c>
      <c r="E46" s="46">
        <v>378</v>
      </c>
      <c r="F46" s="38">
        <f t="shared" si="3"/>
        <v>7695957.7433124678</v>
      </c>
    </row>
    <row r="47" spans="1:9" x14ac:dyDescent="0.25">
      <c r="A47">
        <v>6</v>
      </c>
      <c r="B47">
        <f t="shared" si="1"/>
        <v>18.762097932244686</v>
      </c>
      <c r="C47" s="37">
        <f t="shared" si="0"/>
        <v>6.2477786114374805</v>
      </c>
      <c r="D47" s="13">
        <f t="shared" si="2"/>
        <v>3275</v>
      </c>
      <c r="E47" s="46">
        <v>378</v>
      </c>
      <c r="F47" s="38">
        <f t="shared" si="3"/>
        <v>7734437.532029029</v>
      </c>
    </row>
    <row r="48" spans="1:9" x14ac:dyDescent="0.25">
      <c r="A48">
        <v>7</v>
      </c>
      <c r="B48">
        <f t="shared" si="1"/>
        <v>18.855908421905909</v>
      </c>
      <c r="C48" s="37">
        <f t="shared" si="0"/>
        <v>6.2790175044946679</v>
      </c>
      <c r="D48" s="13">
        <f t="shared" si="2"/>
        <v>3275</v>
      </c>
      <c r="E48" s="46">
        <v>378</v>
      </c>
      <c r="F48" s="38">
        <f t="shared" si="3"/>
        <v>7773109.7196891736</v>
      </c>
    </row>
    <row r="49" spans="1:6" x14ac:dyDescent="0.25">
      <c r="A49">
        <v>8</v>
      </c>
      <c r="B49">
        <f t="shared" si="1"/>
        <v>18.950187964015438</v>
      </c>
      <c r="C49" s="37">
        <f t="shared" si="0"/>
        <v>6.3104125920171414</v>
      </c>
      <c r="D49" s="13">
        <f t="shared" si="2"/>
        <v>3275</v>
      </c>
      <c r="E49" s="46">
        <v>378</v>
      </c>
      <c r="F49" s="38">
        <f t="shared" si="3"/>
        <v>7811975.2682876205</v>
      </c>
    </row>
    <row r="50" spans="1:6" x14ac:dyDescent="0.25">
      <c r="A50">
        <v>9</v>
      </c>
      <c r="B50">
        <f t="shared" si="1"/>
        <v>19.044938903835515</v>
      </c>
      <c r="C50" s="37">
        <f t="shared" si="0"/>
        <v>6.3419646549772271</v>
      </c>
      <c r="D50" s="13">
        <f t="shared" si="2"/>
        <v>3275</v>
      </c>
      <c r="E50" s="46">
        <v>378</v>
      </c>
      <c r="F50" s="38">
        <f t="shared" si="3"/>
        <v>7851035.1446290584</v>
      </c>
    </row>
    <row r="51" spans="1:6" x14ac:dyDescent="0.25">
      <c r="A51">
        <v>10</v>
      </c>
      <c r="B51">
        <f t="shared" si="1"/>
        <v>19.140163598354693</v>
      </c>
      <c r="C51" s="37">
        <f t="shared" si="0"/>
        <v>6.3736744782521129</v>
      </c>
      <c r="D51" s="13">
        <f t="shared" si="2"/>
        <v>3275</v>
      </c>
      <c r="E51" s="46">
        <v>378</v>
      </c>
      <c r="F51" s="38">
        <f t="shared" si="3"/>
        <v>7890290.3203522023</v>
      </c>
    </row>
    <row r="52" spans="1:6" x14ac:dyDescent="0.25">
      <c r="A52">
        <v>11</v>
      </c>
      <c r="B52">
        <f t="shared" si="1"/>
        <v>19.235864416346466</v>
      </c>
      <c r="C52" s="37">
        <f t="shared" si="0"/>
        <v>6.4055428506433731</v>
      </c>
      <c r="D52" s="13">
        <f t="shared" si="2"/>
        <v>3275</v>
      </c>
      <c r="E52" s="47">
        <v>381.02</v>
      </c>
      <c r="F52" s="38">
        <f t="shared" si="3"/>
        <v>7993095.7935182517</v>
      </c>
    </row>
    <row r="53" spans="1:6" x14ac:dyDescent="0.25">
      <c r="A53">
        <v>12</v>
      </c>
      <c r="B53">
        <f t="shared" si="1"/>
        <v>19.332043738428197</v>
      </c>
      <c r="C53" s="37">
        <f t="shared" si="0"/>
        <v>6.43757056489659</v>
      </c>
      <c r="D53" s="13">
        <f t="shared" si="2"/>
        <v>3275</v>
      </c>
      <c r="E53" s="46">
        <v>381.02</v>
      </c>
      <c r="F53" s="38">
        <f t="shared" si="3"/>
        <v>8033061.2724858429</v>
      </c>
    </row>
    <row r="54" spans="1:6" x14ac:dyDescent="0.25">
      <c r="A54">
        <v>13</v>
      </c>
      <c r="B54">
        <f t="shared" si="1"/>
        <v>19.428703957120337</v>
      </c>
      <c r="C54" s="37">
        <f t="shared" si="0"/>
        <v>6.4697584177210725</v>
      </c>
      <c r="D54" s="13">
        <f t="shared" si="2"/>
        <v>3275</v>
      </c>
      <c r="E54" s="46">
        <v>381.02</v>
      </c>
      <c r="F54" s="38">
        <f t="shared" si="3"/>
        <v>8073226.5788482716</v>
      </c>
    </row>
    <row r="55" spans="1:6" x14ac:dyDescent="0.25">
      <c r="A55">
        <v>14</v>
      </c>
      <c r="B55">
        <f t="shared" si="1"/>
        <v>19.525847476905938</v>
      </c>
      <c r="C55" s="37">
        <f t="shared" si="0"/>
        <v>6.5021072098096777</v>
      </c>
      <c r="D55" s="13">
        <f t="shared" si="2"/>
        <v>3275</v>
      </c>
      <c r="E55" s="46">
        <v>381.02</v>
      </c>
      <c r="F55" s="38">
        <f t="shared" si="3"/>
        <v>8113592.7117425129</v>
      </c>
    </row>
    <row r="56" spans="1:6" x14ac:dyDescent="0.25">
      <c r="A56">
        <v>15</v>
      </c>
      <c r="B56">
        <f t="shared" si="1"/>
        <v>19.623476714290469</v>
      </c>
      <c r="C56" s="37">
        <f t="shared" si="0"/>
        <v>6.5346177458587267</v>
      </c>
      <c r="D56" s="13">
        <f t="shared" si="2"/>
        <v>3275</v>
      </c>
      <c r="E56" s="46">
        <v>381.02</v>
      </c>
      <c r="F56" s="38">
        <f t="shared" si="3"/>
        <v>8154160.6753012259</v>
      </c>
    </row>
    <row r="57" spans="1:6" x14ac:dyDescent="0.25">
      <c r="A57">
        <v>16</v>
      </c>
      <c r="B57">
        <f t="shared" si="1"/>
        <v>19.721594097861921</v>
      </c>
      <c r="C57" s="37">
        <f t="shared" si="0"/>
        <v>6.5672908345880199</v>
      </c>
      <c r="D57" s="13">
        <f t="shared" si="2"/>
        <v>3275</v>
      </c>
      <c r="E57" s="46">
        <v>381.02</v>
      </c>
      <c r="F57" s="38">
        <f t="shared" si="3"/>
        <v>8194931.4786777319</v>
      </c>
    </row>
    <row r="58" spans="1:6" x14ac:dyDescent="0.25">
      <c r="A58">
        <v>17</v>
      </c>
      <c r="B58">
        <f t="shared" si="1"/>
        <v>19.820202068351229</v>
      </c>
      <c r="C58" s="37">
        <f t="shared" si="0"/>
        <v>6.6001272887609597</v>
      </c>
      <c r="D58" s="13">
        <f t="shared" si="2"/>
        <v>3275</v>
      </c>
      <c r="E58" s="46">
        <v>381.02</v>
      </c>
      <c r="F58" s="38">
        <f t="shared" si="3"/>
        <v>8235906.1360711204</v>
      </c>
    </row>
    <row r="59" spans="1:6" x14ac:dyDescent="0.25">
      <c r="A59">
        <v>18</v>
      </c>
      <c r="B59">
        <f t="shared" si="1"/>
        <v>19.919303078692984</v>
      </c>
      <c r="C59" s="37">
        <f t="shared" si="0"/>
        <v>6.6331279252047644</v>
      </c>
      <c r="D59" s="13">
        <f t="shared" si="2"/>
        <v>3275</v>
      </c>
      <c r="E59" s="46">
        <v>381.02</v>
      </c>
      <c r="F59" s="38">
        <f t="shared" si="3"/>
        <v>8277085.666751476</v>
      </c>
    </row>
    <row r="60" spans="1:6" x14ac:dyDescent="0.25">
      <c r="A60">
        <v>19</v>
      </c>
      <c r="B60">
        <f t="shared" si="1"/>
        <v>20.018899594086449</v>
      </c>
      <c r="C60" s="37">
        <f t="shared" si="0"/>
        <v>6.6662935648307879</v>
      </c>
      <c r="D60" s="13">
        <f t="shared" si="2"/>
        <v>3275</v>
      </c>
      <c r="E60" s="46">
        <v>381.02</v>
      </c>
      <c r="F60" s="38">
        <f t="shared" si="3"/>
        <v>8318471.0950852334</v>
      </c>
    </row>
    <row r="61" spans="1:6" x14ac:dyDescent="0.25">
      <c r="A61">
        <v>20</v>
      </c>
      <c r="B61">
        <f t="shared" si="1"/>
        <v>20.11899409205688</v>
      </c>
      <c r="C61" s="37">
        <f t="shared" si="0"/>
        <v>6.6996250326549411</v>
      </c>
      <c r="D61" s="13">
        <f t="shared" si="2"/>
        <v>3275</v>
      </c>
      <c r="E61" s="46">
        <v>381.02</v>
      </c>
      <c r="F61" s="38">
        <f t="shared" si="3"/>
        <v>8360063.4505606582</v>
      </c>
    </row>
    <row r="62" spans="1:6" x14ac:dyDescent="0.25">
      <c r="A62">
        <v>21</v>
      </c>
      <c r="B62">
        <f t="shared" si="1"/>
        <v>20.219589062517166</v>
      </c>
      <c r="C62" s="37">
        <f t="shared" si="0"/>
        <v>6.7331231578182162</v>
      </c>
      <c r="D62" s="13">
        <f t="shared" si="2"/>
        <v>3275</v>
      </c>
      <c r="E62" s="47">
        <v>384.07</v>
      </c>
      <c r="F62" s="38">
        <f t="shared" si="3"/>
        <v>8469119.2517561186</v>
      </c>
    </row>
    <row r="63" spans="1:6" x14ac:dyDescent="0.25">
      <c r="A63">
        <v>22</v>
      </c>
      <c r="B63">
        <f t="shared" si="1"/>
        <v>20.320687007829751</v>
      </c>
      <c r="C63" s="37">
        <f t="shared" si="0"/>
        <v>6.7667887736073071</v>
      </c>
      <c r="D63" s="13">
        <f t="shared" si="2"/>
        <v>3275</v>
      </c>
      <c r="E63" s="46">
        <v>384.07</v>
      </c>
      <c r="F63" s="38">
        <f t="shared" si="3"/>
        <v>8511464.8480148986</v>
      </c>
    </row>
    <row r="64" spans="1:6" x14ac:dyDescent="0.25">
      <c r="A64">
        <v>23</v>
      </c>
      <c r="B64">
        <f t="shared" si="1"/>
        <v>20.422290442868899</v>
      </c>
      <c r="C64" s="37">
        <f t="shared" si="0"/>
        <v>6.8006227174753437</v>
      </c>
      <c r="D64" s="13">
        <f t="shared" si="2"/>
        <v>3275</v>
      </c>
      <c r="E64" s="46">
        <v>384.07</v>
      </c>
      <c r="F64" s="38">
        <f t="shared" si="3"/>
        <v>8554022.172254974</v>
      </c>
    </row>
    <row r="65" spans="1:6" x14ac:dyDescent="0.25">
      <c r="A65">
        <v>24</v>
      </c>
      <c r="B65">
        <f t="shared" si="1"/>
        <v>20.524401895083244</v>
      </c>
      <c r="C65" s="37">
        <f t="shared" si="0"/>
        <v>6.8346258310627208</v>
      </c>
      <c r="D65" s="13">
        <f t="shared" si="2"/>
        <v>3275</v>
      </c>
      <c r="E65" s="46">
        <v>384.07</v>
      </c>
      <c r="F65" s="38">
        <f t="shared" si="3"/>
        <v>8596792.2831162494</v>
      </c>
    </row>
    <row r="66" spans="1:6" x14ac:dyDescent="0.25">
      <c r="A66">
        <v>25</v>
      </c>
      <c r="B66">
        <f t="shared" si="1"/>
        <v>20.627023904558662</v>
      </c>
      <c r="C66" s="37">
        <f t="shared" si="0"/>
        <v>6.8687989602180348</v>
      </c>
      <c r="D66" s="13">
        <f t="shared" si="2"/>
        <v>3275</v>
      </c>
      <c r="E66" s="46">
        <v>384.07</v>
      </c>
      <c r="F66" s="38">
        <f t="shared" si="3"/>
        <v>8639776.2445318289</v>
      </c>
    </row>
    <row r="67" spans="1:6" x14ac:dyDescent="0.25">
      <c r="A67">
        <v>26</v>
      </c>
      <c r="B67">
        <v>21</v>
      </c>
      <c r="C67" s="37">
        <f t="shared" si="0"/>
        <v>6.9930000000000003</v>
      </c>
      <c r="D67" s="13">
        <f t="shared" si="2"/>
        <v>3275</v>
      </c>
      <c r="E67" s="46">
        <v>384.07</v>
      </c>
      <c r="F67" s="38">
        <f t="shared" si="3"/>
        <v>8795999.9452500008</v>
      </c>
    </row>
    <row r="68" spans="1:6" x14ac:dyDescent="0.25">
      <c r="A68">
        <v>27</v>
      </c>
      <c r="B68">
        <v>21</v>
      </c>
      <c r="C68" s="37">
        <f t="shared" si="0"/>
        <v>6.9930000000000003</v>
      </c>
      <c r="D68" s="13">
        <f t="shared" si="2"/>
        <v>3275</v>
      </c>
      <c r="E68" s="46">
        <v>384.07</v>
      </c>
      <c r="F68" s="38">
        <f t="shared" si="3"/>
        <v>8795999.9452500008</v>
      </c>
    </row>
    <row r="69" spans="1:6" x14ac:dyDescent="0.25">
      <c r="A69">
        <v>28</v>
      </c>
      <c r="B69">
        <v>21</v>
      </c>
      <c r="C69" s="37">
        <f t="shared" si="0"/>
        <v>6.9930000000000003</v>
      </c>
      <c r="D69" s="13">
        <f t="shared" si="2"/>
        <v>3275</v>
      </c>
      <c r="E69" s="46">
        <v>384.07</v>
      </c>
      <c r="F69" s="38">
        <f t="shared" si="3"/>
        <v>8795999.9452500008</v>
      </c>
    </row>
    <row r="70" spans="1:6" x14ac:dyDescent="0.25">
      <c r="A70">
        <v>29</v>
      </c>
      <c r="B70">
        <v>21</v>
      </c>
      <c r="C70" s="37">
        <f t="shared" si="0"/>
        <v>6.9930000000000003</v>
      </c>
      <c r="D70" s="13">
        <f t="shared" si="2"/>
        <v>3275</v>
      </c>
      <c r="E70" s="46">
        <v>384.07</v>
      </c>
      <c r="F70" s="38">
        <f t="shared" si="3"/>
        <v>8795999.9452500008</v>
      </c>
    </row>
    <row r="71" spans="1:6" x14ac:dyDescent="0.25">
      <c r="A71">
        <v>30</v>
      </c>
      <c r="B71">
        <v>21</v>
      </c>
      <c r="C71" s="37">
        <f t="shared" si="0"/>
        <v>6.9930000000000003</v>
      </c>
      <c r="D71" s="13">
        <f t="shared" si="2"/>
        <v>3275</v>
      </c>
      <c r="E71" s="46">
        <v>384.07</v>
      </c>
      <c r="F71" s="38">
        <f t="shared" si="3"/>
        <v>8795999.9452500008</v>
      </c>
    </row>
    <row r="72" spans="1:6" x14ac:dyDescent="0.25">
      <c r="A72">
        <v>31</v>
      </c>
      <c r="B72">
        <v>21</v>
      </c>
      <c r="C72" s="37">
        <f t="shared" si="0"/>
        <v>6.9930000000000003</v>
      </c>
      <c r="D72" s="13">
        <f t="shared" si="2"/>
        <v>3275</v>
      </c>
      <c r="E72" s="47">
        <v>387.14</v>
      </c>
      <c r="F72" s="38">
        <f t="shared" si="3"/>
        <v>8866309.3155000005</v>
      </c>
    </row>
    <row r="73" spans="1:6" x14ac:dyDescent="0.25">
      <c r="A73">
        <v>32</v>
      </c>
      <c r="B73">
        <v>21</v>
      </c>
      <c r="C73" s="37">
        <f t="shared" si="0"/>
        <v>6.9930000000000003</v>
      </c>
      <c r="D73" s="13">
        <f t="shared" si="2"/>
        <v>3275</v>
      </c>
      <c r="E73" s="46">
        <v>387.14</v>
      </c>
      <c r="F73" s="38">
        <f t="shared" si="3"/>
        <v>8866309.3155000005</v>
      </c>
    </row>
    <row r="74" spans="1:6" x14ac:dyDescent="0.25">
      <c r="A74">
        <v>33</v>
      </c>
      <c r="B74">
        <v>21</v>
      </c>
      <c r="C74" s="37">
        <f t="shared" si="0"/>
        <v>6.9930000000000003</v>
      </c>
      <c r="D74" s="13">
        <f t="shared" si="2"/>
        <v>3275</v>
      </c>
      <c r="E74" s="46">
        <v>387.14</v>
      </c>
      <c r="F74" s="38">
        <f t="shared" si="3"/>
        <v>8866309.3155000005</v>
      </c>
    </row>
    <row r="75" spans="1:6" x14ac:dyDescent="0.25">
      <c r="A75">
        <v>34</v>
      </c>
      <c r="B75">
        <v>21</v>
      </c>
      <c r="C75" s="37">
        <f t="shared" si="0"/>
        <v>6.9930000000000003</v>
      </c>
      <c r="D75" s="13">
        <f t="shared" si="2"/>
        <v>3275</v>
      </c>
      <c r="E75" s="46">
        <v>387.14</v>
      </c>
      <c r="F75" s="38">
        <f t="shared" si="3"/>
        <v>8866309.3155000005</v>
      </c>
    </row>
    <row r="76" spans="1:6" x14ac:dyDescent="0.25">
      <c r="A76">
        <v>35</v>
      </c>
      <c r="B76">
        <v>21</v>
      </c>
      <c r="C76" s="37">
        <f t="shared" si="0"/>
        <v>6.9930000000000003</v>
      </c>
      <c r="D76" s="13">
        <f t="shared" si="2"/>
        <v>3275</v>
      </c>
      <c r="E76" s="46">
        <v>387.14</v>
      </c>
      <c r="F76" s="38">
        <f t="shared" si="3"/>
        <v>8866309.3155000005</v>
      </c>
    </row>
    <row r="77" spans="1:6" x14ac:dyDescent="0.25">
      <c r="A77">
        <v>36</v>
      </c>
      <c r="B77">
        <v>21</v>
      </c>
      <c r="C77" s="37">
        <f t="shared" si="0"/>
        <v>6.9930000000000003</v>
      </c>
      <c r="D77" s="13">
        <f t="shared" si="2"/>
        <v>3275</v>
      </c>
      <c r="E77" s="46">
        <v>387.14</v>
      </c>
      <c r="F77" s="38">
        <f t="shared" si="3"/>
        <v>8866309.3155000005</v>
      </c>
    </row>
    <row r="78" spans="1:6" x14ac:dyDescent="0.25">
      <c r="A78">
        <v>37</v>
      </c>
      <c r="B78">
        <v>21</v>
      </c>
      <c r="C78" s="37">
        <f t="shared" si="0"/>
        <v>6.9930000000000003</v>
      </c>
      <c r="D78" s="13">
        <f t="shared" si="2"/>
        <v>3275</v>
      </c>
      <c r="E78" s="46">
        <v>387.14</v>
      </c>
      <c r="F78" s="38">
        <f t="shared" si="3"/>
        <v>8866309.3155000005</v>
      </c>
    </row>
    <row r="79" spans="1:6" x14ac:dyDescent="0.25">
      <c r="A79">
        <v>38</v>
      </c>
      <c r="B79">
        <v>21</v>
      </c>
      <c r="C79" s="37">
        <f t="shared" si="0"/>
        <v>6.9930000000000003</v>
      </c>
      <c r="D79" s="13">
        <f t="shared" si="2"/>
        <v>3275</v>
      </c>
      <c r="E79" s="46">
        <v>387.14</v>
      </c>
      <c r="F79" s="38">
        <f t="shared" si="3"/>
        <v>8866309.3155000005</v>
      </c>
    </row>
    <row r="80" spans="1:6" x14ac:dyDescent="0.25">
      <c r="A80">
        <v>39</v>
      </c>
      <c r="B80">
        <v>21</v>
      </c>
      <c r="C80" s="37">
        <f t="shared" si="0"/>
        <v>6.9930000000000003</v>
      </c>
      <c r="D80" s="13">
        <f t="shared" si="2"/>
        <v>3275</v>
      </c>
      <c r="E80" s="46">
        <v>387.14</v>
      </c>
      <c r="F80" s="38">
        <f t="shared" si="3"/>
        <v>8866309.3155000005</v>
      </c>
    </row>
    <row r="81" spans="1:6" x14ac:dyDescent="0.25">
      <c r="A81">
        <v>40</v>
      </c>
      <c r="B81">
        <v>21</v>
      </c>
      <c r="C81" s="37">
        <f t="shared" si="0"/>
        <v>6.9930000000000003</v>
      </c>
      <c r="D81" s="13">
        <f t="shared" si="2"/>
        <v>3275</v>
      </c>
      <c r="E81" s="46">
        <v>387.14</v>
      </c>
      <c r="F81" s="38">
        <f t="shared" si="3"/>
        <v>8866309.3155000005</v>
      </c>
    </row>
    <row r="82" spans="1:6" x14ac:dyDescent="0.25">
      <c r="A82">
        <v>41</v>
      </c>
      <c r="B82">
        <v>21</v>
      </c>
      <c r="C82" s="37">
        <f t="shared" si="0"/>
        <v>6.9930000000000003</v>
      </c>
      <c r="D82" s="13">
        <f t="shared" si="2"/>
        <v>3275</v>
      </c>
      <c r="E82" s="47">
        <v>390.24</v>
      </c>
      <c r="F82" s="38">
        <f t="shared" si="3"/>
        <v>8937305.7479999997</v>
      </c>
    </row>
    <row r="83" spans="1:6" x14ac:dyDescent="0.25">
      <c r="A83">
        <v>42</v>
      </c>
      <c r="B83">
        <v>21</v>
      </c>
      <c r="C83" s="37">
        <f t="shared" si="0"/>
        <v>6.9930000000000003</v>
      </c>
      <c r="D83" s="13">
        <f t="shared" si="2"/>
        <v>3275</v>
      </c>
      <c r="E83" s="46">
        <v>390.24</v>
      </c>
      <c r="F83" s="38">
        <f t="shared" si="3"/>
        <v>8937305.7479999997</v>
      </c>
    </row>
    <row r="84" spans="1:6" x14ac:dyDescent="0.25">
      <c r="A84">
        <v>43</v>
      </c>
      <c r="B84">
        <v>21</v>
      </c>
      <c r="C84" s="37">
        <f t="shared" si="0"/>
        <v>6.9930000000000003</v>
      </c>
      <c r="D84" s="13">
        <f t="shared" si="2"/>
        <v>3275</v>
      </c>
      <c r="E84" s="46">
        <v>390.24</v>
      </c>
      <c r="F84" s="38">
        <f t="shared" si="3"/>
        <v>8937305.7479999997</v>
      </c>
    </row>
    <row r="85" spans="1:6" x14ac:dyDescent="0.25">
      <c r="A85">
        <v>44</v>
      </c>
      <c r="B85">
        <v>21</v>
      </c>
      <c r="C85" s="37">
        <f t="shared" si="0"/>
        <v>6.9930000000000003</v>
      </c>
      <c r="D85" s="13">
        <f t="shared" si="2"/>
        <v>3275</v>
      </c>
      <c r="E85" s="46">
        <v>390.24</v>
      </c>
      <c r="F85" s="38">
        <f t="shared" si="3"/>
        <v>8937305.7479999997</v>
      </c>
    </row>
    <row r="86" spans="1:6" x14ac:dyDescent="0.25">
      <c r="A86">
        <v>45</v>
      </c>
      <c r="B86">
        <v>21</v>
      </c>
      <c r="C86" s="37">
        <f t="shared" si="0"/>
        <v>6.9930000000000003</v>
      </c>
      <c r="D86" s="13">
        <f t="shared" si="2"/>
        <v>3275</v>
      </c>
      <c r="E86" s="46">
        <v>390.24</v>
      </c>
      <c r="F86" s="38">
        <f t="shared" si="3"/>
        <v>8937305.7479999997</v>
      </c>
    </row>
    <row r="87" spans="1:6" x14ac:dyDescent="0.25">
      <c r="A87">
        <v>46</v>
      </c>
      <c r="B87">
        <v>21</v>
      </c>
      <c r="C87" s="37">
        <f t="shared" si="0"/>
        <v>6.9930000000000003</v>
      </c>
      <c r="D87" s="13">
        <f t="shared" si="2"/>
        <v>3275</v>
      </c>
      <c r="E87" s="46">
        <v>390.24</v>
      </c>
      <c r="F87" s="38">
        <f t="shared" si="3"/>
        <v>8937305.7479999997</v>
      </c>
    </row>
    <row r="88" spans="1:6" x14ac:dyDescent="0.25">
      <c r="A88">
        <v>47</v>
      </c>
      <c r="B88">
        <v>21</v>
      </c>
      <c r="C88" s="37">
        <f t="shared" si="0"/>
        <v>6.9930000000000003</v>
      </c>
      <c r="D88" s="13">
        <f t="shared" si="2"/>
        <v>3275</v>
      </c>
      <c r="E88" s="46">
        <v>390.24</v>
      </c>
      <c r="F88" s="38">
        <f t="shared" si="3"/>
        <v>8937305.7479999997</v>
      </c>
    </row>
    <row r="89" spans="1:6" x14ac:dyDescent="0.25">
      <c r="A89">
        <v>48</v>
      </c>
      <c r="B89">
        <v>21</v>
      </c>
      <c r="C89" s="37">
        <f t="shared" si="0"/>
        <v>6.9930000000000003</v>
      </c>
      <c r="D89" s="13">
        <f t="shared" si="2"/>
        <v>3275</v>
      </c>
      <c r="E89" s="46">
        <v>390.24</v>
      </c>
      <c r="F89" s="38">
        <f t="shared" si="3"/>
        <v>8937305.7479999997</v>
      </c>
    </row>
    <row r="90" spans="1:6" x14ac:dyDescent="0.25">
      <c r="A90">
        <v>49</v>
      </c>
      <c r="B90">
        <v>21</v>
      </c>
      <c r="C90" s="37">
        <f t="shared" si="0"/>
        <v>6.9930000000000003</v>
      </c>
      <c r="D90" s="13">
        <f t="shared" si="2"/>
        <v>3275</v>
      </c>
      <c r="E90" s="46">
        <v>390.24</v>
      </c>
      <c r="F90" s="38">
        <f t="shared" si="3"/>
        <v>8937305.7479999997</v>
      </c>
    </row>
    <row r="91" spans="1:6" x14ac:dyDescent="0.25">
      <c r="A91">
        <v>50</v>
      </c>
      <c r="B91">
        <v>21</v>
      </c>
      <c r="C91" s="37">
        <f t="shared" si="0"/>
        <v>6.9930000000000003</v>
      </c>
      <c r="D91" s="13">
        <f t="shared" si="2"/>
        <v>3275</v>
      </c>
      <c r="E91" s="46">
        <v>390.24</v>
      </c>
      <c r="F91" s="38">
        <f t="shared" si="3"/>
        <v>8937305.7479999997</v>
      </c>
    </row>
    <row r="92" spans="1:6" x14ac:dyDescent="0.25">
      <c r="A92">
        <v>51</v>
      </c>
      <c r="B92">
        <v>21</v>
      </c>
      <c r="C92" s="37">
        <f t="shared" si="0"/>
        <v>6.9930000000000003</v>
      </c>
      <c r="D92" s="13">
        <f t="shared" si="2"/>
        <v>3275</v>
      </c>
      <c r="E92" s="47">
        <v>393.36</v>
      </c>
      <c r="F92" s="38">
        <f t="shared" si="3"/>
        <v>9008760.222000001</v>
      </c>
    </row>
    <row r="93" spans="1:6" x14ac:dyDescent="0.25">
      <c r="A93">
        <v>52</v>
      </c>
      <c r="B93">
        <v>21</v>
      </c>
      <c r="C93" s="37">
        <f t="shared" si="0"/>
        <v>6.9930000000000003</v>
      </c>
      <c r="D93" s="13">
        <f t="shared" si="2"/>
        <v>3275</v>
      </c>
      <c r="E93" s="46">
        <v>393.36</v>
      </c>
      <c r="F93" s="38">
        <f t="shared" si="3"/>
        <v>9008760.222000001</v>
      </c>
    </row>
    <row r="94" spans="1:6" x14ac:dyDescent="0.25">
      <c r="A94">
        <v>53</v>
      </c>
      <c r="B94">
        <v>21</v>
      </c>
      <c r="C94" s="37">
        <f t="shared" si="0"/>
        <v>6.9930000000000003</v>
      </c>
      <c r="D94" s="13">
        <f t="shared" si="2"/>
        <v>3275</v>
      </c>
      <c r="E94" s="46">
        <v>393.36</v>
      </c>
      <c r="F94" s="38">
        <f t="shared" si="3"/>
        <v>9008760.222000001</v>
      </c>
    </row>
    <row r="95" spans="1:6" x14ac:dyDescent="0.25">
      <c r="A95">
        <v>54</v>
      </c>
      <c r="B95">
        <v>21</v>
      </c>
      <c r="C95" s="37">
        <f t="shared" si="0"/>
        <v>6.9930000000000003</v>
      </c>
      <c r="D95" s="13">
        <f t="shared" si="2"/>
        <v>3275</v>
      </c>
      <c r="E95" s="46">
        <v>393.36</v>
      </c>
      <c r="F95" s="38">
        <f t="shared" si="3"/>
        <v>9008760.222000001</v>
      </c>
    </row>
    <row r="96" spans="1:6" x14ac:dyDescent="0.25">
      <c r="A96">
        <v>55</v>
      </c>
      <c r="B96">
        <v>21</v>
      </c>
      <c r="C96" s="37">
        <f t="shared" si="0"/>
        <v>6.9930000000000003</v>
      </c>
      <c r="D96" s="13">
        <f t="shared" si="2"/>
        <v>3275</v>
      </c>
      <c r="E96" s="46">
        <v>393.36</v>
      </c>
      <c r="F96" s="38">
        <f t="shared" si="3"/>
        <v>9008760.222000001</v>
      </c>
    </row>
    <row r="97" spans="1:6" x14ac:dyDescent="0.25">
      <c r="A97">
        <v>56</v>
      </c>
      <c r="B97">
        <v>21</v>
      </c>
      <c r="C97" s="37">
        <f t="shared" si="0"/>
        <v>6.9930000000000003</v>
      </c>
      <c r="D97" s="13">
        <f t="shared" si="2"/>
        <v>3275</v>
      </c>
      <c r="E97" s="46">
        <v>393.36</v>
      </c>
      <c r="F97" s="38">
        <f t="shared" si="3"/>
        <v>9008760.222000001</v>
      </c>
    </row>
    <row r="98" spans="1:6" x14ac:dyDescent="0.25">
      <c r="A98">
        <v>57</v>
      </c>
      <c r="B98">
        <v>21</v>
      </c>
      <c r="C98" s="37">
        <f t="shared" si="0"/>
        <v>6.9930000000000003</v>
      </c>
      <c r="D98" s="13">
        <f t="shared" si="2"/>
        <v>3275</v>
      </c>
      <c r="E98" s="46">
        <v>393.36</v>
      </c>
      <c r="F98" s="38">
        <f t="shared" si="3"/>
        <v>9008760.222000001</v>
      </c>
    </row>
    <row r="99" spans="1:6" x14ac:dyDescent="0.25">
      <c r="A99">
        <v>58</v>
      </c>
      <c r="B99">
        <v>21</v>
      </c>
      <c r="C99" s="37">
        <f t="shared" si="0"/>
        <v>6.9930000000000003</v>
      </c>
      <c r="D99" s="13">
        <f t="shared" si="2"/>
        <v>3275</v>
      </c>
      <c r="E99" s="46">
        <v>393.36</v>
      </c>
      <c r="F99" s="38">
        <f t="shared" si="3"/>
        <v>9008760.222000001</v>
      </c>
    </row>
    <row r="100" spans="1:6" x14ac:dyDescent="0.25">
      <c r="A100">
        <v>59</v>
      </c>
      <c r="B100">
        <v>21</v>
      </c>
      <c r="C100" s="37">
        <f t="shared" si="0"/>
        <v>6.9930000000000003</v>
      </c>
      <c r="D100" s="13">
        <f t="shared" si="2"/>
        <v>3275</v>
      </c>
      <c r="E100" s="46">
        <v>393.36</v>
      </c>
      <c r="F100" s="38">
        <f t="shared" si="3"/>
        <v>9008760.222000001</v>
      </c>
    </row>
    <row r="101" spans="1:6" x14ac:dyDescent="0.25">
      <c r="A101">
        <v>60</v>
      </c>
      <c r="B101">
        <v>21</v>
      </c>
      <c r="C101" s="37">
        <f t="shared" si="0"/>
        <v>6.9930000000000003</v>
      </c>
      <c r="D101" s="13">
        <f t="shared" si="2"/>
        <v>3275</v>
      </c>
      <c r="E101" s="46">
        <v>393.36</v>
      </c>
      <c r="F101" s="38">
        <f t="shared" si="3"/>
        <v>9008760.222000001</v>
      </c>
    </row>
    <row r="102" spans="1:6" x14ac:dyDescent="0.25">
      <c r="A102">
        <v>61</v>
      </c>
      <c r="B102">
        <v>21</v>
      </c>
      <c r="C102" s="37">
        <f t="shared" si="0"/>
        <v>6.9930000000000003</v>
      </c>
      <c r="D102" s="13">
        <f t="shared" si="2"/>
        <v>3275</v>
      </c>
      <c r="E102" s="47">
        <v>396.51</v>
      </c>
      <c r="F102" s="38">
        <f t="shared" si="3"/>
        <v>9080901.75825</v>
      </c>
    </row>
    <row r="103" spans="1:6" x14ac:dyDescent="0.25">
      <c r="A103">
        <v>62</v>
      </c>
      <c r="B103">
        <v>21</v>
      </c>
      <c r="C103" s="37">
        <f t="shared" si="0"/>
        <v>6.9930000000000003</v>
      </c>
      <c r="D103" s="13">
        <f t="shared" si="2"/>
        <v>3275</v>
      </c>
      <c r="E103" s="46">
        <v>396.51</v>
      </c>
      <c r="F103" s="38">
        <f t="shared" si="3"/>
        <v>9080901.75825</v>
      </c>
    </row>
    <row r="104" spans="1:6" x14ac:dyDescent="0.25">
      <c r="A104">
        <v>63</v>
      </c>
      <c r="B104">
        <v>21</v>
      </c>
      <c r="C104" s="37">
        <f t="shared" si="0"/>
        <v>6.9930000000000003</v>
      </c>
      <c r="D104" s="13">
        <f t="shared" si="2"/>
        <v>3275</v>
      </c>
      <c r="E104" s="46">
        <v>396.51</v>
      </c>
      <c r="F104" s="38">
        <f t="shared" si="3"/>
        <v>9080901.75825</v>
      </c>
    </row>
    <row r="105" spans="1:6" x14ac:dyDescent="0.25">
      <c r="A105">
        <v>64</v>
      </c>
      <c r="B105">
        <v>21</v>
      </c>
      <c r="C105" s="37">
        <f t="shared" si="0"/>
        <v>6.9930000000000003</v>
      </c>
      <c r="D105" s="13">
        <f t="shared" si="2"/>
        <v>3275</v>
      </c>
      <c r="E105" s="46">
        <v>396.51</v>
      </c>
      <c r="F105" s="38">
        <f t="shared" si="3"/>
        <v>9080901.75825</v>
      </c>
    </row>
    <row r="106" spans="1:6" x14ac:dyDescent="0.25">
      <c r="A106">
        <v>65</v>
      </c>
      <c r="B106">
        <v>21</v>
      </c>
      <c r="C106" s="37">
        <f t="shared" si="0"/>
        <v>6.9930000000000003</v>
      </c>
      <c r="D106" s="13">
        <f t="shared" si="2"/>
        <v>3275</v>
      </c>
      <c r="E106" s="46">
        <v>396.51</v>
      </c>
      <c r="F106" s="38">
        <f t="shared" si="3"/>
        <v>9080901.75825</v>
      </c>
    </row>
    <row r="107" spans="1:6" x14ac:dyDescent="0.25">
      <c r="A107">
        <v>66</v>
      </c>
      <c r="B107">
        <v>21</v>
      </c>
      <c r="C107" s="37">
        <f t="shared" ref="C107:C141" si="4">0.333*B107</f>
        <v>6.9930000000000003</v>
      </c>
      <c r="D107" s="13">
        <f t="shared" ref="D107:D141" si="5">$I$42</f>
        <v>3275</v>
      </c>
      <c r="E107" s="46">
        <v>396.51</v>
      </c>
      <c r="F107" s="38">
        <f t="shared" ref="F107:F141" si="6">C107*D107*E107</f>
        <v>9080901.75825</v>
      </c>
    </row>
    <row r="108" spans="1:6" x14ac:dyDescent="0.25">
      <c r="A108">
        <v>67</v>
      </c>
      <c r="B108">
        <v>21</v>
      </c>
      <c r="C108" s="37">
        <f t="shared" si="4"/>
        <v>6.9930000000000003</v>
      </c>
      <c r="D108" s="13">
        <f t="shared" si="5"/>
        <v>3275</v>
      </c>
      <c r="E108" s="46">
        <v>396.51</v>
      </c>
      <c r="F108" s="38">
        <f t="shared" si="6"/>
        <v>9080901.75825</v>
      </c>
    </row>
    <row r="109" spans="1:6" x14ac:dyDescent="0.25">
      <c r="A109">
        <v>68</v>
      </c>
      <c r="B109">
        <v>21</v>
      </c>
      <c r="C109" s="37">
        <f t="shared" si="4"/>
        <v>6.9930000000000003</v>
      </c>
      <c r="D109" s="13">
        <f t="shared" si="5"/>
        <v>3275</v>
      </c>
      <c r="E109" s="46">
        <v>396.51</v>
      </c>
      <c r="F109" s="38">
        <f t="shared" si="6"/>
        <v>9080901.75825</v>
      </c>
    </row>
    <row r="110" spans="1:6" x14ac:dyDescent="0.25">
      <c r="A110">
        <v>69</v>
      </c>
      <c r="B110">
        <v>21</v>
      </c>
      <c r="C110" s="37">
        <f t="shared" si="4"/>
        <v>6.9930000000000003</v>
      </c>
      <c r="D110" s="13">
        <f t="shared" si="5"/>
        <v>3275</v>
      </c>
      <c r="E110" s="46">
        <v>396.51</v>
      </c>
      <c r="F110" s="38">
        <f t="shared" si="6"/>
        <v>9080901.75825</v>
      </c>
    </row>
    <row r="111" spans="1:6" x14ac:dyDescent="0.25">
      <c r="A111">
        <v>70</v>
      </c>
      <c r="B111">
        <v>21</v>
      </c>
      <c r="C111" s="37">
        <f t="shared" si="4"/>
        <v>6.9930000000000003</v>
      </c>
      <c r="D111" s="13">
        <f t="shared" si="5"/>
        <v>3275</v>
      </c>
      <c r="E111" s="46">
        <v>396.51</v>
      </c>
      <c r="F111" s="38">
        <f t="shared" si="6"/>
        <v>9080901.75825</v>
      </c>
    </row>
    <row r="112" spans="1:6" x14ac:dyDescent="0.25">
      <c r="A112">
        <v>71</v>
      </c>
      <c r="B112">
        <v>21</v>
      </c>
      <c r="C112" s="37">
        <f t="shared" si="4"/>
        <v>6.9930000000000003</v>
      </c>
      <c r="D112" s="13">
        <f t="shared" si="5"/>
        <v>3275</v>
      </c>
      <c r="E112" s="47">
        <v>399.68</v>
      </c>
      <c r="F112" s="38">
        <f>C112*D112*E112</f>
        <v>9153501.3360000011</v>
      </c>
    </row>
    <row r="113" spans="1:6" x14ac:dyDescent="0.25">
      <c r="A113">
        <v>72</v>
      </c>
      <c r="B113">
        <v>21</v>
      </c>
      <c r="C113" s="37">
        <f t="shared" si="4"/>
        <v>6.9930000000000003</v>
      </c>
      <c r="D113" s="13">
        <f t="shared" si="5"/>
        <v>3275</v>
      </c>
      <c r="E113" s="46">
        <v>399.68</v>
      </c>
      <c r="F113" s="38">
        <f t="shared" si="6"/>
        <v>9153501.3360000011</v>
      </c>
    </row>
    <row r="114" spans="1:6" x14ac:dyDescent="0.25">
      <c r="A114">
        <v>73</v>
      </c>
      <c r="B114">
        <v>21</v>
      </c>
      <c r="C114" s="37">
        <f t="shared" si="4"/>
        <v>6.9930000000000003</v>
      </c>
      <c r="D114" s="13">
        <f t="shared" si="5"/>
        <v>3275</v>
      </c>
      <c r="E114" s="46">
        <v>399.68</v>
      </c>
      <c r="F114" s="38">
        <f t="shared" si="6"/>
        <v>9153501.3360000011</v>
      </c>
    </row>
    <row r="115" spans="1:6" x14ac:dyDescent="0.25">
      <c r="A115">
        <v>74</v>
      </c>
      <c r="B115">
        <v>21</v>
      </c>
      <c r="C115" s="37">
        <f t="shared" si="4"/>
        <v>6.9930000000000003</v>
      </c>
      <c r="D115" s="13">
        <f t="shared" si="5"/>
        <v>3275</v>
      </c>
      <c r="E115" s="46">
        <v>399.68</v>
      </c>
      <c r="F115" s="38">
        <f t="shared" si="6"/>
        <v>9153501.3360000011</v>
      </c>
    </row>
    <row r="116" spans="1:6" x14ac:dyDescent="0.25">
      <c r="A116">
        <v>75</v>
      </c>
      <c r="B116">
        <v>21</v>
      </c>
      <c r="C116" s="37">
        <f t="shared" si="4"/>
        <v>6.9930000000000003</v>
      </c>
      <c r="D116" s="13">
        <f t="shared" si="5"/>
        <v>3275</v>
      </c>
      <c r="E116" s="46">
        <v>399.68</v>
      </c>
      <c r="F116" s="38">
        <f t="shared" si="6"/>
        <v>9153501.3360000011</v>
      </c>
    </row>
    <row r="117" spans="1:6" x14ac:dyDescent="0.25">
      <c r="A117">
        <v>76</v>
      </c>
      <c r="B117">
        <v>21</v>
      </c>
      <c r="C117" s="37">
        <f t="shared" si="4"/>
        <v>6.9930000000000003</v>
      </c>
      <c r="D117" s="13">
        <f t="shared" si="5"/>
        <v>3275</v>
      </c>
      <c r="E117" s="46">
        <v>399.68</v>
      </c>
      <c r="F117" s="38">
        <f t="shared" si="6"/>
        <v>9153501.3360000011</v>
      </c>
    </row>
    <row r="118" spans="1:6" x14ac:dyDescent="0.25">
      <c r="A118">
        <v>77</v>
      </c>
      <c r="B118">
        <v>21</v>
      </c>
      <c r="C118" s="37">
        <f t="shared" si="4"/>
        <v>6.9930000000000003</v>
      </c>
      <c r="D118" s="13">
        <f t="shared" si="5"/>
        <v>3275</v>
      </c>
      <c r="E118" s="46">
        <v>399.68</v>
      </c>
      <c r="F118" s="38">
        <f t="shared" si="6"/>
        <v>9153501.3360000011</v>
      </c>
    </row>
    <row r="119" spans="1:6" x14ac:dyDescent="0.25">
      <c r="A119">
        <v>78</v>
      </c>
      <c r="B119">
        <v>21</v>
      </c>
      <c r="C119" s="37">
        <f t="shared" si="4"/>
        <v>6.9930000000000003</v>
      </c>
      <c r="D119" s="13">
        <f t="shared" si="5"/>
        <v>3275</v>
      </c>
      <c r="E119" s="46">
        <v>399.68</v>
      </c>
      <c r="F119" s="38">
        <f t="shared" si="6"/>
        <v>9153501.3360000011</v>
      </c>
    </row>
    <row r="120" spans="1:6" x14ac:dyDescent="0.25">
      <c r="A120">
        <v>79</v>
      </c>
      <c r="B120">
        <v>21</v>
      </c>
      <c r="C120" s="37">
        <f t="shared" si="4"/>
        <v>6.9930000000000003</v>
      </c>
      <c r="D120" s="13">
        <f t="shared" si="5"/>
        <v>3275</v>
      </c>
      <c r="E120" s="46">
        <v>399.68</v>
      </c>
      <c r="F120" s="38">
        <f t="shared" si="6"/>
        <v>9153501.3360000011</v>
      </c>
    </row>
    <row r="121" spans="1:6" x14ac:dyDescent="0.25">
      <c r="A121">
        <v>80</v>
      </c>
      <c r="B121">
        <v>21</v>
      </c>
      <c r="C121" s="37">
        <f t="shared" si="4"/>
        <v>6.9930000000000003</v>
      </c>
      <c r="D121" s="13">
        <f t="shared" si="5"/>
        <v>3275</v>
      </c>
      <c r="E121" s="46">
        <v>399.68</v>
      </c>
      <c r="F121" s="38">
        <f t="shared" si="6"/>
        <v>9153501.3360000011</v>
      </c>
    </row>
    <row r="122" spans="1:6" x14ac:dyDescent="0.25">
      <c r="A122">
        <v>81</v>
      </c>
      <c r="B122">
        <v>21</v>
      </c>
      <c r="C122" s="37">
        <f t="shared" si="4"/>
        <v>6.9930000000000003</v>
      </c>
      <c r="D122" s="13">
        <f t="shared" si="5"/>
        <v>3275</v>
      </c>
      <c r="E122" s="47">
        <v>402.88</v>
      </c>
      <c r="F122" s="38">
        <f t="shared" si="6"/>
        <v>9226787.9759999998</v>
      </c>
    </row>
    <row r="123" spans="1:6" x14ac:dyDescent="0.25">
      <c r="A123">
        <v>82</v>
      </c>
      <c r="B123">
        <v>21</v>
      </c>
      <c r="C123" s="37">
        <f t="shared" si="4"/>
        <v>6.9930000000000003</v>
      </c>
      <c r="D123" s="13">
        <f t="shared" si="5"/>
        <v>3275</v>
      </c>
      <c r="E123" s="46">
        <v>402.88</v>
      </c>
      <c r="F123" s="38">
        <f t="shared" si="6"/>
        <v>9226787.9759999998</v>
      </c>
    </row>
    <row r="124" spans="1:6" x14ac:dyDescent="0.25">
      <c r="A124">
        <v>83</v>
      </c>
      <c r="B124">
        <v>21</v>
      </c>
      <c r="C124" s="37">
        <f t="shared" si="4"/>
        <v>6.9930000000000003</v>
      </c>
      <c r="D124" s="13">
        <f t="shared" si="5"/>
        <v>3275</v>
      </c>
      <c r="E124" s="46">
        <v>402.88</v>
      </c>
      <c r="F124" s="38">
        <f t="shared" si="6"/>
        <v>9226787.9759999998</v>
      </c>
    </row>
    <row r="125" spans="1:6" x14ac:dyDescent="0.25">
      <c r="A125">
        <v>84</v>
      </c>
      <c r="B125">
        <v>21</v>
      </c>
      <c r="C125" s="37">
        <f t="shared" si="4"/>
        <v>6.9930000000000003</v>
      </c>
      <c r="D125" s="13">
        <f t="shared" si="5"/>
        <v>3275</v>
      </c>
      <c r="E125" s="46">
        <v>402.88</v>
      </c>
      <c r="F125" s="38">
        <f t="shared" si="6"/>
        <v>9226787.9759999998</v>
      </c>
    </row>
    <row r="126" spans="1:6" x14ac:dyDescent="0.25">
      <c r="A126">
        <v>85</v>
      </c>
      <c r="B126">
        <v>21</v>
      </c>
      <c r="C126" s="37">
        <f t="shared" si="4"/>
        <v>6.9930000000000003</v>
      </c>
      <c r="D126" s="13">
        <f t="shared" si="5"/>
        <v>3275</v>
      </c>
      <c r="E126" s="46">
        <v>402.88</v>
      </c>
      <c r="F126" s="38">
        <f t="shared" si="6"/>
        <v>9226787.9759999998</v>
      </c>
    </row>
    <row r="127" spans="1:6" x14ac:dyDescent="0.25">
      <c r="A127">
        <v>86</v>
      </c>
      <c r="B127">
        <v>21</v>
      </c>
      <c r="C127" s="37">
        <f t="shared" si="4"/>
        <v>6.9930000000000003</v>
      </c>
      <c r="D127" s="13">
        <f t="shared" si="5"/>
        <v>3275</v>
      </c>
      <c r="E127" s="46">
        <v>402.88</v>
      </c>
      <c r="F127" s="38">
        <f t="shared" si="6"/>
        <v>9226787.9759999998</v>
      </c>
    </row>
    <row r="128" spans="1:6" x14ac:dyDescent="0.25">
      <c r="A128">
        <v>87</v>
      </c>
      <c r="B128">
        <v>21</v>
      </c>
      <c r="C128" s="37">
        <f t="shared" si="4"/>
        <v>6.9930000000000003</v>
      </c>
      <c r="D128" s="13">
        <f t="shared" si="5"/>
        <v>3275</v>
      </c>
      <c r="E128" s="46">
        <v>402.88</v>
      </c>
      <c r="F128" s="38">
        <f t="shared" si="6"/>
        <v>9226787.9759999998</v>
      </c>
    </row>
    <row r="129" spans="1:8" x14ac:dyDescent="0.25">
      <c r="A129">
        <v>88</v>
      </c>
      <c r="B129">
        <v>21</v>
      </c>
      <c r="C129" s="37">
        <f t="shared" si="4"/>
        <v>6.9930000000000003</v>
      </c>
      <c r="D129" s="13">
        <f t="shared" si="5"/>
        <v>3275</v>
      </c>
      <c r="E129" s="46">
        <v>402.88</v>
      </c>
      <c r="F129" s="38">
        <f t="shared" si="6"/>
        <v>9226787.9759999998</v>
      </c>
    </row>
    <row r="130" spans="1:8" x14ac:dyDescent="0.25">
      <c r="A130">
        <v>89</v>
      </c>
      <c r="B130">
        <v>21</v>
      </c>
      <c r="C130" s="37">
        <f t="shared" si="4"/>
        <v>6.9930000000000003</v>
      </c>
      <c r="D130" s="13">
        <f t="shared" si="5"/>
        <v>3275</v>
      </c>
      <c r="E130" s="46">
        <v>402.88</v>
      </c>
      <c r="F130" s="38">
        <f t="shared" si="6"/>
        <v>9226787.9759999998</v>
      </c>
    </row>
    <row r="131" spans="1:8" x14ac:dyDescent="0.25">
      <c r="A131">
        <v>90</v>
      </c>
      <c r="B131">
        <v>21</v>
      </c>
      <c r="C131" s="37">
        <f t="shared" si="4"/>
        <v>6.9930000000000003</v>
      </c>
      <c r="D131" s="13">
        <f t="shared" si="5"/>
        <v>3275</v>
      </c>
      <c r="E131" s="46">
        <v>402.88</v>
      </c>
      <c r="F131" s="38">
        <f t="shared" si="6"/>
        <v>9226787.9759999998</v>
      </c>
    </row>
    <row r="132" spans="1:8" x14ac:dyDescent="0.25">
      <c r="A132">
        <v>91</v>
      </c>
      <c r="B132">
        <v>21</v>
      </c>
      <c r="C132" s="37">
        <f t="shared" si="4"/>
        <v>6.9930000000000003</v>
      </c>
      <c r="D132" s="13">
        <f t="shared" si="5"/>
        <v>3275</v>
      </c>
      <c r="E132" s="47">
        <v>406.1</v>
      </c>
      <c r="F132" s="38">
        <f t="shared" si="6"/>
        <v>9300532.6575000007</v>
      </c>
    </row>
    <row r="133" spans="1:8" x14ac:dyDescent="0.25">
      <c r="A133">
        <v>92</v>
      </c>
      <c r="B133">
        <v>21</v>
      </c>
      <c r="C133" s="37">
        <f t="shared" si="4"/>
        <v>6.9930000000000003</v>
      </c>
      <c r="D133" s="13">
        <f t="shared" si="5"/>
        <v>3275</v>
      </c>
      <c r="E133" s="46">
        <v>406.1</v>
      </c>
      <c r="F133" s="38">
        <f t="shared" si="6"/>
        <v>9300532.6575000007</v>
      </c>
    </row>
    <row r="134" spans="1:8" x14ac:dyDescent="0.25">
      <c r="A134">
        <v>93</v>
      </c>
      <c r="B134">
        <v>21</v>
      </c>
      <c r="C134" s="37">
        <f t="shared" si="4"/>
        <v>6.9930000000000003</v>
      </c>
      <c r="D134" s="13">
        <f t="shared" si="5"/>
        <v>3275</v>
      </c>
      <c r="E134" s="46">
        <v>406.1</v>
      </c>
      <c r="F134" s="38">
        <f t="shared" si="6"/>
        <v>9300532.6575000007</v>
      </c>
    </row>
    <row r="135" spans="1:8" x14ac:dyDescent="0.25">
      <c r="A135">
        <v>94</v>
      </c>
      <c r="B135">
        <v>21</v>
      </c>
      <c r="C135" s="37">
        <f t="shared" si="4"/>
        <v>6.9930000000000003</v>
      </c>
      <c r="D135" s="13">
        <f t="shared" si="5"/>
        <v>3275</v>
      </c>
      <c r="E135" s="46">
        <v>406.1</v>
      </c>
      <c r="F135" s="38">
        <f t="shared" si="6"/>
        <v>9300532.6575000007</v>
      </c>
    </row>
    <row r="136" spans="1:8" x14ac:dyDescent="0.25">
      <c r="A136">
        <v>95</v>
      </c>
      <c r="B136">
        <v>21</v>
      </c>
      <c r="C136" s="37">
        <f t="shared" si="4"/>
        <v>6.9930000000000003</v>
      </c>
      <c r="D136" s="13">
        <f t="shared" si="5"/>
        <v>3275</v>
      </c>
      <c r="E136" s="46">
        <v>406.1</v>
      </c>
      <c r="F136" s="38">
        <f t="shared" si="6"/>
        <v>9300532.6575000007</v>
      </c>
    </row>
    <row r="137" spans="1:8" x14ac:dyDescent="0.25">
      <c r="A137">
        <v>96</v>
      </c>
      <c r="B137">
        <v>21</v>
      </c>
      <c r="C137" s="37">
        <f t="shared" si="4"/>
        <v>6.9930000000000003</v>
      </c>
      <c r="D137" s="13">
        <f t="shared" si="5"/>
        <v>3275</v>
      </c>
      <c r="E137" s="46">
        <v>406.1</v>
      </c>
      <c r="F137" s="38">
        <f t="shared" si="6"/>
        <v>9300532.6575000007</v>
      </c>
    </row>
    <row r="138" spans="1:8" x14ac:dyDescent="0.25">
      <c r="A138">
        <v>97</v>
      </c>
      <c r="B138">
        <v>21</v>
      </c>
      <c r="C138" s="37">
        <f t="shared" si="4"/>
        <v>6.9930000000000003</v>
      </c>
      <c r="D138" s="13">
        <f t="shared" si="5"/>
        <v>3275</v>
      </c>
      <c r="E138" s="46">
        <v>406.1</v>
      </c>
      <c r="F138" s="38">
        <f t="shared" si="6"/>
        <v>9300532.6575000007</v>
      </c>
    </row>
    <row r="139" spans="1:8" x14ac:dyDescent="0.25">
      <c r="A139">
        <v>98</v>
      </c>
      <c r="B139">
        <v>21</v>
      </c>
      <c r="C139" s="37">
        <f t="shared" si="4"/>
        <v>6.9930000000000003</v>
      </c>
      <c r="D139" s="13">
        <f t="shared" si="5"/>
        <v>3275</v>
      </c>
      <c r="E139" s="46">
        <v>406.1</v>
      </c>
      <c r="F139" s="38">
        <f t="shared" si="6"/>
        <v>9300532.6575000007</v>
      </c>
    </row>
    <row r="140" spans="1:8" x14ac:dyDescent="0.25">
      <c r="A140">
        <v>99</v>
      </c>
      <c r="B140">
        <v>21</v>
      </c>
      <c r="C140" s="37">
        <f t="shared" si="4"/>
        <v>6.9930000000000003</v>
      </c>
      <c r="D140" s="13">
        <f t="shared" si="5"/>
        <v>3275</v>
      </c>
      <c r="E140" s="46">
        <v>406.1</v>
      </c>
      <c r="F140" s="38">
        <f t="shared" si="6"/>
        <v>9300532.6575000007</v>
      </c>
    </row>
    <row r="141" spans="1:8" x14ac:dyDescent="0.25">
      <c r="A141">
        <v>100</v>
      </c>
      <c r="B141">
        <v>21</v>
      </c>
      <c r="C141" s="37">
        <f t="shared" si="4"/>
        <v>6.9930000000000003</v>
      </c>
      <c r="D141" s="13">
        <f t="shared" si="5"/>
        <v>3275</v>
      </c>
      <c r="E141" s="46">
        <v>406.1</v>
      </c>
      <c r="F141" s="38">
        <f t="shared" si="6"/>
        <v>9300532.6575000007</v>
      </c>
    </row>
    <row r="142" spans="1:8" x14ac:dyDescent="0.25">
      <c r="F142" s="39">
        <f>SUM(F42:F141)</f>
        <v>881405412.90825927</v>
      </c>
      <c r="H142" t="s">
        <v>107</v>
      </c>
    </row>
    <row r="145" spans="6:6" x14ac:dyDescent="0.25">
      <c r="F145">
        <v>881405412.90825927</v>
      </c>
    </row>
  </sheetData>
  <mergeCells count="1">
    <mergeCell ref="A38:F38"/>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92DBE-840C-4848-A16A-865D129F8BE3}">
  <sheetPr>
    <tabColor theme="9" tint="0.79998168889431442"/>
  </sheetPr>
  <dimension ref="A2:E22"/>
  <sheetViews>
    <sheetView topLeftCell="A3" workbookViewId="0">
      <selection activeCell="A11" sqref="A11"/>
    </sheetView>
  </sheetViews>
  <sheetFormatPr defaultColWidth="11" defaultRowHeight="15.75" x14ac:dyDescent="0.25"/>
  <cols>
    <col min="1" max="1" width="50.375" customWidth="1"/>
    <col min="2" max="2" width="13.375" bestFit="1" customWidth="1"/>
    <col min="4" max="4" width="50.625" customWidth="1"/>
  </cols>
  <sheetData>
    <row r="2" spans="1:5" x14ac:dyDescent="0.25">
      <c r="A2" t="s">
        <v>5</v>
      </c>
    </row>
    <row r="3" spans="1:5" ht="173.25" x14ac:dyDescent="0.25">
      <c r="A3" s="7" t="s">
        <v>121</v>
      </c>
    </row>
    <row r="5" spans="1:5" ht="63" x14ac:dyDescent="0.25">
      <c r="A5" s="7" t="s">
        <v>89</v>
      </c>
    </row>
    <row r="7" spans="1:5" ht="126" x14ac:dyDescent="0.25">
      <c r="A7" s="41" t="s">
        <v>90</v>
      </c>
      <c r="D7" t="s">
        <v>113</v>
      </c>
    </row>
    <row r="9" spans="1:5" x14ac:dyDescent="0.25">
      <c r="A9" t="s">
        <v>95</v>
      </c>
      <c r="B9" s="1">
        <v>3275</v>
      </c>
      <c r="D9" t="s">
        <v>112</v>
      </c>
      <c r="E9" s="1"/>
    </row>
    <row r="10" spans="1:5" x14ac:dyDescent="0.25">
      <c r="A10" t="s">
        <v>94</v>
      </c>
      <c r="B10" s="42">
        <f>B9/5280</f>
        <v>0.62026515151515149</v>
      </c>
      <c r="E10" s="1"/>
    </row>
    <row r="11" spans="1:5" x14ac:dyDescent="0.25">
      <c r="A11" t="s">
        <v>122</v>
      </c>
      <c r="B11" s="10">
        <v>160000</v>
      </c>
      <c r="E11" s="1"/>
    </row>
    <row r="12" spans="1:5" x14ac:dyDescent="0.25">
      <c r="A12" s="1" t="s">
        <v>96</v>
      </c>
      <c r="B12" s="19">
        <f>B10*B11</f>
        <v>99242.42424242424</v>
      </c>
    </row>
    <row r="14" spans="1:5" x14ac:dyDescent="0.25">
      <c r="A14">
        <f>2016+2</f>
        <v>2018</v>
      </c>
      <c r="C14" t="s">
        <v>119</v>
      </c>
    </row>
    <row r="15" spans="1:5" x14ac:dyDescent="0.25">
      <c r="A15">
        <f>A14+13</f>
        <v>2031</v>
      </c>
      <c r="B15" s="10">
        <f>-FV(0.04,7,0,$B$12,0)</f>
        <v>130596.25990901142</v>
      </c>
      <c r="C15" t="s">
        <v>120</v>
      </c>
    </row>
    <row r="16" spans="1:5" x14ac:dyDescent="0.25">
      <c r="A16">
        <f t="shared" ref="A16:A20" si="0">A15+13</f>
        <v>2044</v>
      </c>
      <c r="B16" s="10">
        <f>-FV(0.04,20,0,$B$12,0)</f>
        <v>217452.3725283168</v>
      </c>
    </row>
    <row r="17" spans="1:2" x14ac:dyDescent="0.25">
      <c r="A17">
        <f t="shared" si="0"/>
        <v>2057</v>
      </c>
      <c r="B17" s="10">
        <f>-FV(0.04,33,0,$B$12,0)</f>
        <v>362074.18459868972</v>
      </c>
    </row>
    <row r="18" spans="1:2" x14ac:dyDescent="0.25">
      <c r="A18">
        <f t="shared" si="0"/>
        <v>2070</v>
      </c>
      <c r="B18" s="10">
        <f>-FV(0.04,46,0,$B$12,0)</f>
        <v>602880.1324562896</v>
      </c>
    </row>
    <row r="19" spans="1:2" x14ac:dyDescent="0.25">
      <c r="A19">
        <f t="shared" si="0"/>
        <v>2083</v>
      </c>
      <c r="B19" s="10">
        <f>-FV(0.04,59,0,$B$12,0)</f>
        <v>1003839.7366367459</v>
      </c>
    </row>
    <row r="20" spans="1:2" x14ac:dyDescent="0.25">
      <c r="A20">
        <f t="shared" si="0"/>
        <v>2096</v>
      </c>
      <c r="B20" s="10">
        <f>-FV(0.04,72,0,$B$12,0)</f>
        <v>1671466.9510592837</v>
      </c>
    </row>
    <row r="21" spans="1:2" x14ac:dyDescent="0.25">
      <c r="A21">
        <f>A20+13</f>
        <v>2109</v>
      </c>
      <c r="B21" s="10">
        <f>-FV(0.04,85,0,$B$12,0)</f>
        <v>2783115.3385536843</v>
      </c>
    </row>
    <row r="22" spans="1:2" x14ac:dyDescent="0.25">
      <c r="A22" s="1" t="s">
        <v>10</v>
      </c>
      <c r="B22" s="10">
        <f>SUM(B15:B21)</f>
        <v>6771424.9757420216</v>
      </c>
    </row>
  </sheetData>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6D374-9908-FA4C-A926-BB79EF7A4BE1}">
  <sheetPr>
    <tabColor theme="8" tint="0.79998168889431442"/>
  </sheetPr>
  <dimension ref="A1:Q67"/>
  <sheetViews>
    <sheetView topLeftCell="H4" workbookViewId="0">
      <selection activeCell="R6" sqref="R6"/>
    </sheetView>
  </sheetViews>
  <sheetFormatPr defaultColWidth="11" defaultRowHeight="15.75" x14ac:dyDescent="0.25"/>
  <cols>
    <col min="1" max="1" width="19.375" customWidth="1"/>
    <col min="2" max="2" width="15" bestFit="1" customWidth="1"/>
    <col min="3" max="3" width="14.375" bestFit="1" customWidth="1"/>
    <col min="4" max="5" width="15.375" bestFit="1" customWidth="1"/>
    <col min="9" max="10" width="14.375" bestFit="1" customWidth="1"/>
    <col min="11" max="11" width="15.5" customWidth="1"/>
    <col min="15" max="15" width="14.375" bestFit="1" customWidth="1"/>
    <col min="16" max="16" width="20.125" bestFit="1" customWidth="1"/>
    <col min="17" max="17" width="19.875" bestFit="1" customWidth="1"/>
    <col min="19" max="20" width="17" bestFit="1" customWidth="1"/>
  </cols>
  <sheetData>
    <row r="1" spans="1:17" x14ac:dyDescent="0.25">
      <c r="A1" t="s">
        <v>75</v>
      </c>
    </row>
    <row r="2" spans="1:17" x14ac:dyDescent="0.25">
      <c r="A2" t="s">
        <v>76</v>
      </c>
    </row>
    <row r="3" spans="1:17" x14ac:dyDescent="0.25">
      <c r="A3" t="s">
        <v>59</v>
      </c>
    </row>
    <row r="5" spans="1:17" x14ac:dyDescent="0.25">
      <c r="A5" s="1" t="s">
        <v>72</v>
      </c>
    </row>
    <row r="6" spans="1:17" ht="47.25" x14ac:dyDescent="0.25">
      <c r="B6" s="8" t="s">
        <v>50</v>
      </c>
      <c r="C6" s="9" t="s">
        <v>70</v>
      </c>
      <c r="E6" s="57" t="s">
        <v>141</v>
      </c>
      <c r="K6" s="57" t="s">
        <v>142</v>
      </c>
      <c r="Q6" s="57" t="s">
        <v>148</v>
      </c>
    </row>
    <row r="7" spans="1:17" x14ac:dyDescent="0.25">
      <c r="A7" t="s">
        <v>0</v>
      </c>
      <c r="B7" s="10">
        <v>23001572.199999999</v>
      </c>
      <c r="C7" s="10">
        <f>FV(0.04,8,0,-B7,0)</f>
        <v>31479239.823582351</v>
      </c>
    </row>
    <row r="8" spans="1:17" x14ac:dyDescent="0.25">
      <c r="A8" t="s">
        <v>1</v>
      </c>
      <c r="B8" s="10">
        <v>43846693.009999998</v>
      </c>
      <c r="C8" s="10">
        <f>FV(0.04, 8, 0, -B8, 0)</f>
        <v>60007227.016107269</v>
      </c>
      <c r="P8" t="s">
        <v>153</v>
      </c>
    </row>
    <row r="9" spans="1:17" x14ac:dyDescent="0.25">
      <c r="A9" t="s">
        <v>2</v>
      </c>
      <c r="B9" s="10">
        <v>66848265.210000001</v>
      </c>
      <c r="C9" s="10">
        <f>SUM(C7:C8)</f>
        <v>91486466.839689612</v>
      </c>
      <c r="D9" s="11" t="s">
        <v>51</v>
      </c>
      <c r="E9" s="19">
        <f>C9*2</f>
        <v>182972933.67937922</v>
      </c>
      <c r="J9" t="s">
        <v>143</v>
      </c>
      <c r="K9" s="10">
        <f>C9*3</f>
        <v>274459400.51906884</v>
      </c>
      <c r="P9">
        <f>Q9/C9</f>
        <v>4.5376927169661112</v>
      </c>
      <c r="Q9" s="10">
        <v>415137474.27942121</v>
      </c>
    </row>
    <row r="10" spans="1:17" x14ac:dyDescent="0.25">
      <c r="A10" t="s">
        <v>3</v>
      </c>
      <c r="B10" s="13">
        <f>+B7/B9</f>
        <v>0.34408629943861485</v>
      </c>
    </row>
    <row r="11" spans="1:17" x14ac:dyDescent="0.25">
      <c r="A11" t="s">
        <v>4</v>
      </c>
      <c r="B11" s="13">
        <f>+B8/B9</f>
        <v>0.65591370056138509</v>
      </c>
    </row>
    <row r="15" spans="1:17" x14ac:dyDescent="0.25">
      <c r="A15" t="s">
        <v>73</v>
      </c>
      <c r="B15">
        <v>40</v>
      </c>
    </row>
    <row r="16" spans="1:17" x14ac:dyDescent="0.25">
      <c r="A16" t="s">
        <v>74</v>
      </c>
      <c r="B16" s="21">
        <v>0.04</v>
      </c>
    </row>
    <row r="20" spans="1:17" x14ac:dyDescent="0.25">
      <c r="B20" t="s">
        <v>77</v>
      </c>
      <c r="C20" t="s">
        <v>78</v>
      </c>
      <c r="D20" t="s">
        <v>79</v>
      </c>
      <c r="I20" t="s">
        <v>77</v>
      </c>
      <c r="J20" t="s">
        <v>78</v>
      </c>
      <c r="K20" t="s">
        <v>79</v>
      </c>
      <c r="O20" t="s">
        <v>77</v>
      </c>
      <c r="P20" t="s">
        <v>78</v>
      </c>
      <c r="Q20" t="s">
        <v>79</v>
      </c>
    </row>
    <row r="21" spans="1:17" x14ac:dyDescent="0.25">
      <c r="A21" s="22">
        <v>1</v>
      </c>
      <c r="B21" s="10">
        <f t="shared" ref="B21:B60" si="0">-PPMT($B$16,$A21,$B$15,$E$9,0)</f>
        <v>1925513.714233163</v>
      </c>
      <c r="C21" s="10">
        <f t="shared" ref="C21:C60" si="1">-IPMT($B$16,$A21,$B$15,$E$9,0)</f>
        <v>7318917.3471751688</v>
      </c>
      <c r="D21" s="10">
        <f>B21+C21</f>
        <v>9244431.0614083316</v>
      </c>
      <c r="H21" s="22">
        <v>1</v>
      </c>
      <c r="I21" s="10">
        <f>-PPMT($B$16,$H21,$B$15,$K$9,0)</f>
        <v>2888270.5713497447</v>
      </c>
      <c r="J21" s="10">
        <f>-IPMT($B$16,$H21,$B$15,$K$9,0)</f>
        <v>10978376.020762755</v>
      </c>
      <c r="K21" s="10">
        <f>I21+J21</f>
        <v>13866646.5921125</v>
      </c>
      <c r="N21" s="22">
        <v>1</v>
      </c>
      <c r="O21" s="10">
        <f>-PPMT($B$16,$N21,$B$15,$Q$9,0)</f>
        <v>4368694.7787470948</v>
      </c>
      <c r="P21" s="10">
        <f>-IPMT($B$16,$N21,$B$15,$Q$9,0)</f>
        <v>16605498.97117685</v>
      </c>
      <c r="Q21" s="10">
        <f>O21+P21</f>
        <v>20974193.749923944</v>
      </c>
    </row>
    <row r="22" spans="1:17" x14ac:dyDescent="0.25">
      <c r="A22" s="22">
        <v>2</v>
      </c>
      <c r="B22" s="10">
        <f t="shared" si="0"/>
        <v>2002534.2628024898</v>
      </c>
      <c r="C22" s="10">
        <f t="shared" si="1"/>
        <v>7241896.7986058416</v>
      </c>
      <c r="D22" s="10">
        <f t="shared" ref="D22:D60" si="2">B22+C22</f>
        <v>9244431.0614083316</v>
      </c>
      <c r="H22" s="22">
        <v>2</v>
      </c>
      <c r="I22" s="10">
        <f t="shared" ref="I22:I60" si="3">-PPMT($B$16,$H22,$B$15,$K$9,0)</f>
        <v>3003801.394203735</v>
      </c>
      <c r="J22" s="10">
        <f t="shared" ref="J22:J60" si="4">-IPMT($B$16,$H22,$B$15,$K$9,0)</f>
        <v>10862845.197908765</v>
      </c>
      <c r="K22" s="10">
        <f t="shared" ref="K22:K60" si="5">I22+J22</f>
        <v>13866646.5921125</v>
      </c>
      <c r="N22" s="22">
        <v>2</v>
      </c>
      <c r="O22" s="10">
        <f t="shared" ref="O22:O60" si="6">-PPMT($B$16,$N22,$B$15,$Q$9,0)</f>
        <v>4543442.5698969793</v>
      </c>
      <c r="P22" s="10">
        <f t="shared" ref="P22:P60" si="7">-IPMT($B$16,$N22,$B$15,$Q$9,0)</f>
        <v>16430751.180026963</v>
      </c>
      <c r="Q22" s="10">
        <f t="shared" ref="Q22:Q60" si="8">O22+P22</f>
        <v>20974193.749923944</v>
      </c>
    </row>
    <row r="23" spans="1:17" x14ac:dyDescent="0.25">
      <c r="A23" s="22">
        <v>3</v>
      </c>
      <c r="B23" s="10">
        <f t="shared" si="0"/>
        <v>2082635.6333145893</v>
      </c>
      <c r="C23" s="10">
        <f t="shared" si="1"/>
        <v>7161795.4280937426</v>
      </c>
      <c r="D23" s="10">
        <f t="shared" si="2"/>
        <v>9244431.0614083316</v>
      </c>
      <c r="H23" s="22">
        <v>3</v>
      </c>
      <c r="I23" s="10">
        <f t="shared" si="3"/>
        <v>3123953.4499718845</v>
      </c>
      <c r="J23" s="10">
        <f t="shared" si="4"/>
        <v>10742693.142140616</v>
      </c>
      <c r="K23" s="10">
        <f t="shared" si="5"/>
        <v>13866646.5921125</v>
      </c>
      <c r="N23" s="22">
        <v>3</v>
      </c>
      <c r="O23" s="10">
        <f t="shared" si="6"/>
        <v>4725180.2726928582</v>
      </c>
      <c r="P23" s="10">
        <f t="shared" si="7"/>
        <v>16249013.477231085</v>
      </c>
      <c r="Q23" s="10">
        <f t="shared" si="8"/>
        <v>20974193.749923944</v>
      </c>
    </row>
    <row r="24" spans="1:17" x14ac:dyDescent="0.25">
      <c r="A24" s="22">
        <v>4</v>
      </c>
      <c r="B24" s="10">
        <f t="shared" si="0"/>
        <v>2165941.0586471725</v>
      </c>
      <c r="C24" s="10">
        <f t="shared" si="1"/>
        <v>7078490.0027611591</v>
      </c>
      <c r="D24" s="10">
        <f t="shared" si="2"/>
        <v>9244431.0614083316</v>
      </c>
      <c r="H24" s="22">
        <v>4</v>
      </c>
      <c r="I24" s="10">
        <f t="shared" si="3"/>
        <v>3248911.5879707593</v>
      </c>
      <c r="J24" s="10">
        <f t="shared" si="4"/>
        <v>10617735.004141741</v>
      </c>
      <c r="K24" s="10">
        <f t="shared" si="5"/>
        <v>13866646.5921125</v>
      </c>
      <c r="N24" s="22">
        <v>4</v>
      </c>
      <c r="O24" s="10">
        <f t="shared" si="6"/>
        <v>4914187.4836005718</v>
      </c>
      <c r="P24" s="10">
        <f t="shared" si="7"/>
        <v>16060006.266323371</v>
      </c>
      <c r="Q24" s="10">
        <f t="shared" si="8"/>
        <v>20974193.749923944</v>
      </c>
    </row>
    <row r="25" spans="1:17" x14ac:dyDescent="0.25">
      <c r="A25" s="22">
        <v>5</v>
      </c>
      <c r="B25" s="10">
        <f t="shared" si="0"/>
        <v>2252578.7009930597</v>
      </c>
      <c r="C25" s="10">
        <f t="shared" si="1"/>
        <v>6991852.3604152715</v>
      </c>
      <c r="D25" s="10">
        <f t="shared" si="2"/>
        <v>9244431.0614083316</v>
      </c>
      <c r="H25" s="22">
        <v>5</v>
      </c>
      <c r="I25" s="10">
        <f t="shared" si="3"/>
        <v>3378868.0514895897</v>
      </c>
      <c r="J25" s="10">
        <f t="shared" si="4"/>
        <v>10487778.540622909</v>
      </c>
      <c r="K25" s="10">
        <f t="shared" si="5"/>
        <v>13866646.592112498</v>
      </c>
      <c r="N25" s="22">
        <v>5</v>
      </c>
      <c r="O25" s="10">
        <f t="shared" si="6"/>
        <v>5110754.9829445956</v>
      </c>
      <c r="P25" s="10">
        <f t="shared" si="7"/>
        <v>15863438.766979346</v>
      </c>
      <c r="Q25" s="10">
        <f t="shared" si="8"/>
        <v>20974193.749923941</v>
      </c>
    </row>
    <row r="26" spans="1:17" x14ac:dyDescent="0.25">
      <c r="A26" s="22">
        <v>6</v>
      </c>
      <c r="B26" s="10">
        <f t="shared" si="0"/>
        <v>2342681.849032782</v>
      </c>
      <c r="C26" s="10">
        <f t="shared" si="1"/>
        <v>6901749.2123755505</v>
      </c>
      <c r="D26" s="10">
        <f t="shared" si="2"/>
        <v>9244431.0614083335</v>
      </c>
      <c r="H26" s="22">
        <v>6</v>
      </c>
      <c r="I26" s="10">
        <f t="shared" si="3"/>
        <v>3514022.7735491735</v>
      </c>
      <c r="J26" s="10">
        <f t="shared" si="4"/>
        <v>10352623.818563325</v>
      </c>
      <c r="K26" s="10">
        <f t="shared" si="5"/>
        <v>13866646.592112498</v>
      </c>
      <c r="N26" s="22">
        <v>6</v>
      </c>
      <c r="O26" s="10">
        <f t="shared" si="6"/>
        <v>5315185.1822623787</v>
      </c>
      <c r="P26" s="10">
        <f t="shared" si="7"/>
        <v>15659008.567661565</v>
      </c>
      <c r="Q26" s="10">
        <f t="shared" si="8"/>
        <v>20974193.749923944</v>
      </c>
    </row>
    <row r="27" spans="1:17" x14ac:dyDescent="0.25">
      <c r="A27" s="22">
        <v>7</v>
      </c>
      <c r="B27" s="10">
        <f t="shared" si="0"/>
        <v>2436389.1229940932</v>
      </c>
      <c r="C27" s="10">
        <f t="shared" si="1"/>
        <v>6808041.9384142384</v>
      </c>
      <c r="D27" s="10">
        <f t="shared" si="2"/>
        <v>9244431.0614083316</v>
      </c>
      <c r="H27" s="22">
        <v>7</v>
      </c>
      <c r="I27" s="10">
        <f t="shared" si="3"/>
        <v>3654583.6844911398</v>
      </c>
      <c r="J27" s="10">
        <f t="shared" si="4"/>
        <v>10212062.907621359</v>
      </c>
      <c r="K27" s="10">
        <f t="shared" si="5"/>
        <v>13866646.5921125</v>
      </c>
      <c r="N27" s="22">
        <v>7</v>
      </c>
      <c r="O27" s="10">
        <f t="shared" si="6"/>
        <v>5527792.5895528737</v>
      </c>
      <c r="P27" s="10">
        <f t="shared" si="7"/>
        <v>15446401.160371067</v>
      </c>
      <c r="Q27" s="10">
        <f t="shared" si="8"/>
        <v>20974193.749923941</v>
      </c>
    </row>
    <row r="28" spans="1:17" x14ac:dyDescent="0.25">
      <c r="A28" s="22">
        <v>8</v>
      </c>
      <c r="B28" s="10">
        <f t="shared" si="0"/>
        <v>2533844.6879138565</v>
      </c>
      <c r="C28" s="10">
        <f t="shared" si="1"/>
        <v>6710586.3734944751</v>
      </c>
      <c r="D28" s="10">
        <f t="shared" si="2"/>
        <v>9244431.0614083316</v>
      </c>
      <c r="H28" s="22">
        <v>8</v>
      </c>
      <c r="I28" s="10">
        <f t="shared" si="3"/>
        <v>3800767.0318707856</v>
      </c>
      <c r="J28" s="10">
        <f t="shared" si="4"/>
        <v>10065879.560241714</v>
      </c>
      <c r="K28" s="10">
        <f t="shared" si="5"/>
        <v>13866646.5921125</v>
      </c>
      <c r="N28" s="22">
        <v>8</v>
      </c>
      <c r="O28" s="10">
        <f t="shared" si="6"/>
        <v>5748904.2931349883</v>
      </c>
      <c r="P28" s="10">
        <f t="shared" si="7"/>
        <v>15225289.456788955</v>
      </c>
      <c r="Q28" s="10">
        <f t="shared" si="8"/>
        <v>20974193.749923944</v>
      </c>
    </row>
    <row r="29" spans="1:17" x14ac:dyDescent="0.25">
      <c r="A29" s="22">
        <v>9</v>
      </c>
      <c r="B29" s="10">
        <f t="shared" si="0"/>
        <v>2635198.4754304113</v>
      </c>
      <c r="C29" s="10">
        <f t="shared" si="1"/>
        <v>6609232.5859779203</v>
      </c>
      <c r="D29" s="10">
        <f t="shared" si="2"/>
        <v>9244431.0614083316</v>
      </c>
      <c r="H29" s="22">
        <v>9</v>
      </c>
      <c r="I29" s="10">
        <f t="shared" si="3"/>
        <v>3952797.7131456174</v>
      </c>
      <c r="J29" s="10">
        <f t="shared" si="4"/>
        <v>9913848.878966881</v>
      </c>
      <c r="K29" s="10">
        <f t="shared" si="5"/>
        <v>13866646.592112498</v>
      </c>
      <c r="N29" s="22">
        <v>9</v>
      </c>
      <c r="O29" s="10">
        <f t="shared" si="6"/>
        <v>5978860.464860389</v>
      </c>
      <c r="P29" s="10">
        <f t="shared" si="7"/>
        <v>14995333.285063554</v>
      </c>
      <c r="Q29" s="10">
        <f t="shared" si="8"/>
        <v>20974193.749923944</v>
      </c>
    </row>
    <row r="30" spans="1:17" x14ac:dyDescent="0.25">
      <c r="A30" s="22">
        <v>10</v>
      </c>
      <c r="B30" s="10">
        <f t="shared" si="0"/>
        <v>2740606.4144476275</v>
      </c>
      <c r="C30" s="10">
        <f t="shared" si="1"/>
        <v>6503824.6469607037</v>
      </c>
      <c r="D30" s="10">
        <f t="shared" si="2"/>
        <v>9244431.0614083316</v>
      </c>
      <c r="H30" s="22">
        <v>10</v>
      </c>
      <c r="I30" s="10">
        <f t="shared" si="3"/>
        <v>4110909.6216714419</v>
      </c>
      <c r="J30" s="10">
        <f t="shared" si="4"/>
        <v>9755736.9704410564</v>
      </c>
      <c r="K30" s="10">
        <f t="shared" si="5"/>
        <v>13866646.592112498</v>
      </c>
      <c r="N30" s="22">
        <v>10</v>
      </c>
      <c r="O30" s="10">
        <f t="shared" si="6"/>
        <v>6218014.8834548043</v>
      </c>
      <c r="P30" s="10">
        <f t="shared" si="7"/>
        <v>14756178.866469137</v>
      </c>
      <c r="Q30" s="10">
        <f t="shared" si="8"/>
        <v>20974193.749923941</v>
      </c>
    </row>
    <row r="31" spans="1:17" x14ac:dyDescent="0.25">
      <c r="A31" s="22">
        <v>11</v>
      </c>
      <c r="B31" s="10">
        <f t="shared" si="0"/>
        <v>2850230.6710255332</v>
      </c>
      <c r="C31" s="10">
        <f t="shared" si="1"/>
        <v>6394200.3903827975</v>
      </c>
      <c r="D31" s="10">
        <f t="shared" si="2"/>
        <v>9244431.0614083298</v>
      </c>
      <c r="H31" s="22">
        <v>11</v>
      </c>
      <c r="I31" s="10">
        <f t="shared" si="3"/>
        <v>4275346.0065382998</v>
      </c>
      <c r="J31" s="10">
        <f t="shared" si="4"/>
        <v>9591300.5855741985</v>
      </c>
      <c r="K31" s="10">
        <f t="shared" si="5"/>
        <v>13866646.592112498</v>
      </c>
      <c r="N31" s="22">
        <v>11</v>
      </c>
      <c r="O31" s="10">
        <f t="shared" si="6"/>
        <v>6466735.478792998</v>
      </c>
      <c r="P31" s="10">
        <f t="shared" si="7"/>
        <v>14507458.271130946</v>
      </c>
      <c r="Q31" s="10">
        <f t="shared" si="8"/>
        <v>20974193.749923944</v>
      </c>
    </row>
    <row r="32" spans="1:17" x14ac:dyDescent="0.25">
      <c r="A32" s="22">
        <v>12</v>
      </c>
      <c r="B32" s="10">
        <f t="shared" si="0"/>
        <v>2964239.8978665536</v>
      </c>
      <c r="C32" s="10">
        <f t="shared" si="1"/>
        <v>6280191.1635417771</v>
      </c>
      <c r="D32" s="10">
        <f t="shared" si="2"/>
        <v>9244431.0614083298</v>
      </c>
      <c r="H32" s="22">
        <v>12</v>
      </c>
      <c r="I32" s="10">
        <f t="shared" si="3"/>
        <v>4446359.8467998309</v>
      </c>
      <c r="J32" s="10">
        <f t="shared" si="4"/>
        <v>9420286.7453126665</v>
      </c>
      <c r="K32" s="10">
        <f t="shared" si="5"/>
        <v>13866646.592112496</v>
      </c>
      <c r="N32" s="22">
        <v>12</v>
      </c>
      <c r="O32" s="10">
        <f t="shared" si="6"/>
        <v>6725404.8979447149</v>
      </c>
      <c r="P32" s="10">
        <f t="shared" si="7"/>
        <v>14248788.851979226</v>
      </c>
      <c r="Q32" s="10">
        <f t="shared" si="8"/>
        <v>20974193.749923941</v>
      </c>
    </row>
    <row r="33" spans="1:17" x14ac:dyDescent="0.25">
      <c r="A33" s="22">
        <v>13</v>
      </c>
      <c r="B33" s="10">
        <f t="shared" si="0"/>
        <v>3082809.493781216</v>
      </c>
      <c r="C33" s="10">
        <f t="shared" si="1"/>
        <v>6161621.5676271152</v>
      </c>
      <c r="D33" s="10">
        <f t="shared" si="2"/>
        <v>9244431.0614083316</v>
      </c>
      <c r="H33" s="22">
        <v>13</v>
      </c>
      <c r="I33" s="10">
        <f t="shared" si="3"/>
        <v>4624214.2406718247</v>
      </c>
      <c r="J33" s="10">
        <f t="shared" si="4"/>
        <v>9242432.3514406737</v>
      </c>
      <c r="K33" s="10">
        <f t="shared" si="5"/>
        <v>13866646.592112498</v>
      </c>
      <c r="N33" s="22">
        <v>13</v>
      </c>
      <c r="O33" s="10">
        <f t="shared" si="6"/>
        <v>6994421.0938625038</v>
      </c>
      <c r="P33" s="10">
        <f t="shared" si="7"/>
        <v>13979772.656061437</v>
      </c>
      <c r="Q33" s="10">
        <f t="shared" si="8"/>
        <v>20974193.749923941</v>
      </c>
    </row>
    <row r="34" spans="1:17" x14ac:dyDescent="0.25">
      <c r="A34" s="22">
        <v>14</v>
      </c>
      <c r="B34" s="10">
        <f t="shared" si="0"/>
        <v>3206121.8735324652</v>
      </c>
      <c r="C34" s="10">
        <f t="shared" si="1"/>
        <v>6038309.187875866</v>
      </c>
      <c r="D34" s="10">
        <f t="shared" si="2"/>
        <v>9244431.0614083316</v>
      </c>
      <c r="H34" s="22">
        <v>14</v>
      </c>
      <c r="I34" s="10">
        <f t="shared" si="3"/>
        <v>4809182.810298698</v>
      </c>
      <c r="J34" s="10">
        <f t="shared" si="4"/>
        <v>9057463.7818138003</v>
      </c>
      <c r="K34" s="10">
        <f t="shared" si="5"/>
        <v>13866646.592112498</v>
      </c>
      <c r="N34" s="22">
        <v>14</v>
      </c>
      <c r="O34" s="10">
        <f t="shared" si="6"/>
        <v>7274197.9376170048</v>
      </c>
      <c r="P34" s="10">
        <f t="shared" si="7"/>
        <v>13699995.812306937</v>
      </c>
      <c r="Q34" s="10">
        <f t="shared" si="8"/>
        <v>20974193.749923941</v>
      </c>
    </row>
    <row r="35" spans="1:17" x14ac:dyDescent="0.25">
      <c r="A35" s="22">
        <v>15</v>
      </c>
      <c r="B35" s="10">
        <f t="shared" si="0"/>
        <v>3334366.7484737635</v>
      </c>
      <c r="C35" s="10">
        <f t="shared" si="1"/>
        <v>5910064.3129345682</v>
      </c>
      <c r="D35" s="10">
        <f t="shared" si="2"/>
        <v>9244431.0614083316</v>
      </c>
      <c r="H35" s="22">
        <v>15</v>
      </c>
      <c r="I35" s="10">
        <f t="shared" si="3"/>
        <v>5001550.1227106452</v>
      </c>
      <c r="J35" s="10">
        <f t="shared" si="4"/>
        <v>8865096.4694018513</v>
      </c>
      <c r="K35" s="10">
        <f t="shared" si="5"/>
        <v>13866646.592112496</v>
      </c>
      <c r="N35" s="22">
        <v>15</v>
      </c>
      <c r="O35" s="10">
        <f t="shared" si="6"/>
        <v>7565165.8551216843</v>
      </c>
      <c r="P35" s="10">
        <f t="shared" si="7"/>
        <v>13409027.894802256</v>
      </c>
      <c r="Q35" s="10">
        <f t="shared" si="8"/>
        <v>20974193.749923941</v>
      </c>
    </row>
    <row r="36" spans="1:17" x14ac:dyDescent="0.25">
      <c r="A36" s="22">
        <v>16</v>
      </c>
      <c r="B36" s="10">
        <f t="shared" si="0"/>
        <v>3467741.4184127143</v>
      </c>
      <c r="C36" s="10">
        <f t="shared" si="1"/>
        <v>5776689.6429956183</v>
      </c>
      <c r="D36" s="10">
        <f t="shared" si="2"/>
        <v>9244431.0614083335</v>
      </c>
      <c r="H36" s="22">
        <v>16</v>
      </c>
      <c r="I36" s="10">
        <f t="shared" si="3"/>
        <v>5201612.1276190719</v>
      </c>
      <c r="J36" s="10">
        <f t="shared" si="4"/>
        <v>8665034.4644934293</v>
      </c>
      <c r="K36" s="10">
        <f t="shared" si="5"/>
        <v>13866646.5921125</v>
      </c>
      <c r="N36" s="22">
        <v>16</v>
      </c>
      <c r="O36" s="10">
        <f t="shared" si="6"/>
        <v>7867772.4893265525</v>
      </c>
      <c r="P36" s="10">
        <f t="shared" si="7"/>
        <v>13106421.260597391</v>
      </c>
      <c r="Q36" s="10">
        <f t="shared" si="8"/>
        <v>20974193.749923944</v>
      </c>
    </row>
    <row r="37" spans="1:17" x14ac:dyDescent="0.25">
      <c r="A37" s="22">
        <v>17</v>
      </c>
      <c r="B37" s="10">
        <f t="shared" si="0"/>
        <v>3606451.0751492227</v>
      </c>
      <c r="C37" s="10">
        <f t="shared" si="1"/>
        <v>5637979.9862591075</v>
      </c>
      <c r="D37" s="10">
        <f t="shared" si="2"/>
        <v>9244431.0614083298</v>
      </c>
      <c r="H37" s="22">
        <v>17</v>
      </c>
      <c r="I37" s="10">
        <f t="shared" si="3"/>
        <v>5409676.6127238348</v>
      </c>
      <c r="J37" s="10">
        <f t="shared" si="4"/>
        <v>8456969.9793886635</v>
      </c>
      <c r="K37" s="10">
        <f t="shared" si="5"/>
        <v>13866646.592112498</v>
      </c>
      <c r="N37" s="22">
        <v>17</v>
      </c>
      <c r="O37" s="10">
        <f t="shared" si="6"/>
        <v>8182483.3888996141</v>
      </c>
      <c r="P37" s="10">
        <f t="shared" si="7"/>
        <v>12791710.361024326</v>
      </c>
      <c r="Q37" s="10">
        <f t="shared" si="8"/>
        <v>20974193.749923941</v>
      </c>
    </row>
    <row r="38" spans="1:17" x14ac:dyDescent="0.25">
      <c r="A38" s="22">
        <v>18</v>
      </c>
      <c r="B38" s="10">
        <f t="shared" si="0"/>
        <v>3750709.1181551917</v>
      </c>
      <c r="C38" s="10">
        <f t="shared" si="1"/>
        <v>5493721.943253139</v>
      </c>
      <c r="D38" s="10">
        <f t="shared" si="2"/>
        <v>9244431.0614083298</v>
      </c>
      <c r="H38" s="22">
        <v>18</v>
      </c>
      <c r="I38" s="10">
        <f t="shared" si="3"/>
        <v>5626063.6772327879</v>
      </c>
      <c r="J38" s="10">
        <f t="shared" si="4"/>
        <v>8240582.9148797104</v>
      </c>
      <c r="K38" s="10">
        <f t="shared" si="5"/>
        <v>13866646.592112498</v>
      </c>
      <c r="N38" s="22">
        <v>18</v>
      </c>
      <c r="O38" s="10">
        <f t="shared" si="6"/>
        <v>8509782.7244556006</v>
      </c>
      <c r="P38" s="10">
        <f t="shared" si="7"/>
        <v>12464411.025468342</v>
      </c>
      <c r="Q38" s="10">
        <f t="shared" si="8"/>
        <v>20974193.749923944</v>
      </c>
    </row>
    <row r="39" spans="1:17" x14ac:dyDescent="0.25">
      <c r="A39" s="22">
        <v>19</v>
      </c>
      <c r="B39" s="10">
        <f t="shared" si="0"/>
        <v>3900737.4828813989</v>
      </c>
      <c r="C39" s="10">
        <f t="shared" si="1"/>
        <v>5343693.5785269318</v>
      </c>
      <c r="D39" s="10">
        <f t="shared" si="2"/>
        <v>9244431.0614083298</v>
      </c>
      <c r="H39" s="22">
        <v>19</v>
      </c>
      <c r="I39" s="10">
        <f t="shared" si="3"/>
        <v>5851106.2243220983</v>
      </c>
      <c r="J39" s="10">
        <f t="shared" si="4"/>
        <v>8015540.3677903991</v>
      </c>
      <c r="K39" s="10">
        <f t="shared" si="5"/>
        <v>13866646.592112496</v>
      </c>
      <c r="N39" s="22">
        <v>19</v>
      </c>
      <c r="O39" s="10">
        <f t="shared" si="6"/>
        <v>8850174.0334338229</v>
      </c>
      <c r="P39" s="10">
        <f t="shared" si="7"/>
        <v>12124019.716490118</v>
      </c>
      <c r="Q39" s="10">
        <f t="shared" si="8"/>
        <v>20974193.749923941</v>
      </c>
    </row>
    <row r="40" spans="1:17" x14ac:dyDescent="0.25">
      <c r="A40" s="22">
        <v>20</v>
      </c>
      <c r="B40" s="10">
        <f t="shared" si="0"/>
        <v>4056766.9821966547</v>
      </c>
      <c r="C40" s="10">
        <f t="shared" si="1"/>
        <v>5187664.0792116765</v>
      </c>
      <c r="D40" s="10">
        <f t="shared" si="2"/>
        <v>9244431.0614083316</v>
      </c>
      <c r="H40" s="22">
        <v>20</v>
      </c>
      <c r="I40" s="10">
        <f t="shared" si="3"/>
        <v>6085150.4732949827</v>
      </c>
      <c r="J40" s="10">
        <f t="shared" si="4"/>
        <v>7781496.1188175157</v>
      </c>
      <c r="K40" s="10">
        <f t="shared" si="5"/>
        <v>13866646.592112498</v>
      </c>
      <c r="N40" s="22">
        <v>20</v>
      </c>
      <c r="O40" s="10">
        <f t="shared" si="6"/>
        <v>9204180.9947711751</v>
      </c>
      <c r="P40" s="10">
        <f t="shared" si="7"/>
        <v>11770012.755152768</v>
      </c>
      <c r="Q40" s="10">
        <f t="shared" si="8"/>
        <v>20974193.749923944</v>
      </c>
    </row>
    <row r="41" spans="1:17" x14ac:dyDescent="0.25">
      <c r="A41" s="22">
        <v>21</v>
      </c>
      <c r="B41" s="10">
        <f t="shared" si="0"/>
        <v>4219037.6614845218</v>
      </c>
      <c r="C41" s="10">
        <f t="shared" si="1"/>
        <v>5025393.3999238098</v>
      </c>
      <c r="D41" s="10">
        <f t="shared" si="2"/>
        <v>9244431.0614083316</v>
      </c>
      <c r="H41" s="22">
        <v>21</v>
      </c>
      <c r="I41" s="10">
        <f t="shared" si="3"/>
        <v>6328556.4922267832</v>
      </c>
      <c r="J41" s="10">
        <f t="shared" si="4"/>
        <v>7538090.0998857152</v>
      </c>
      <c r="K41" s="10">
        <f t="shared" si="5"/>
        <v>13866646.592112498</v>
      </c>
      <c r="N41" s="22">
        <v>21</v>
      </c>
      <c r="O41" s="10">
        <f t="shared" si="6"/>
        <v>9572348.2345620245</v>
      </c>
      <c r="P41" s="10">
        <f t="shared" si="7"/>
        <v>11401845.51536192</v>
      </c>
      <c r="Q41" s="10">
        <f t="shared" si="8"/>
        <v>20974193.749923944</v>
      </c>
    </row>
    <row r="42" spans="1:17" x14ac:dyDescent="0.25">
      <c r="A42" s="22">
        <v>22</v>
      </c>
      <c r="B42" s="10">
        <f t="shared" si="0"/>
        <v>4387799.1679439023</v>
      </c>
      <c r="C42" s="10">
        <f t="shared" si="1"/>
        <v>4856631.8934644293</v>
      </c>
      <c r="D42" s="10">
        <f t="shared" si="2"/>
        <v>9244431.0614083316</v>
      </c>
      <c r="H42" s="22">
        <v>22</v>
      </c>
      <c r="I42" s="10">
        <f t="shared" si="3"/>
        <v>6581698.7519158544</v>
      </c>
      <c r="J42" s="10">
        <f t="shared" si="4"/>
        <v>7284947.840196644</v>
      </c>
      <c r="K42" s="10">
        <f t="shared" si="5"/>
        <v>13866646.592112498</v>
      </c>
      <c r="N42" s="22">
        <v>22</v>
      </c>
      <c r="O42" s="10">
        <f t="shared" si="6"/>
        <v>9955242.1639445052</v>
      </c>
      <c r="P42" s="10">
        <f t="shared" si="7"/>
        <v>11018951.585979437</v>
      </c>
      <c r="Q42" s="10">
        <f t="shared" si="8"/>
        <v>20974193.749923944</v>
      </c>
    </row>
    <row r="43" spans="1:17" x14ac:dyDescent="0.25">
      <c r="A43" s="22">
        <v>23</v>
      </c>
      <c r="B43" s="10">
        <f t="shared" si="0"/>
        <v>4563311.1346616577</v>
      </c>
      <c r="C43" s="10">
        <f t="shared" si="1"/>
        <v>4681119.9267466739</v>
      </c>
      <c r="D43" s="10">
        <f t="shared" si="2"/>
        <v>9244431.0614083316</v>
      </c>
      <c r="H43" s="22">
        <v>23</v>
      </c>
      <c r="I43" s="10">
        <f t="shared" si="3"/>
        <v>6844966.7019924885</v>
      </c>
      <c r="J43" s="10">
        <f t="shared" si="4"/>
        <v>7021679.8901200108</v>
      </c>
      <c r="K43" s="10">
        <f t="shared" si="5"/>
        <v>13866646.5921125</v>
      </c>
      <c r="N43" s="22">
        <v>23</v>
      </c>
      <c r="O43" s="10">
        <f t="shared" si="6"/>
        <v>10353451.850502284</v>
      </c>
      <c r="P43" s="10">
        <f t="shared" si="7"/>
        <v>10620741.899421658</v>
      </c>
      <c r="Q43" s="10">
        <f t="shared" si="8"/>
        <v>20974193.749923944</v>
      </c>
    </row>
    <row r="44" spans="1:17" x14ac:dyDescent="0.25">
      <c r="A44" s="22">
        <v>24</v>
      </c>
      <c r="B44" s="10">
        <f t="shared" si="0"/>
        <v>4745843.5800481234</v>
      </c>
      <c r="C44" s="10">
        <f t="shared" si="1"/>
        <v>4498587.4813602064</v>
      </c>
      <c r="D44" s="10">
        <f t="shared" si="2"/>
        <v>9244431.0614083298</v>
      </c>
      <c r="H44" s="22">
        <v>24</v>
      </c>
      <c r="I44" s="10">
        <f t="shared" si="3"/>
        <v>7118765.370072186</v>
      </c>
      <c r="J44" s="10">
        <f t="shared" si="4"/>
        <v>6747881.2220403114</v>
      </c>
      <c r="K44" s="10">
        <f t="shared" si="5"/>
        <v>13866646.592112496</v>
      </c>
      <c r="N44" s="22">
        <v>24</v>
      </c>
      <c r="O44" s="10">
        <f t="shared" si="6"/>
        <v>10767589.924522374</v>
      </c>
      <c r="P44" s="10">
        <f t="shared" si="7"/>
        <v>10206603.825401567</v>
      </c>
      <c r="Q44" s="10">
        <f t="shared" si="8"/>
        <v>20974193.749923941</v>
      </c>
    </row>
    <row r="45" spans="1:17" x14ac:dyDescent="0.25">
      <c r="A45" s="22">
        <v>25</v>
      </c>
      <c r="B45" s="10">
        <f t="shared" si="0"/>
        <v>4935677.3232500497</v>
      </c>
      <c r="C45" s="10">
        <f t="shared" si="1"/>
        <v>4308753.7381582819</v>
      </c>
      <c r="D45" s="10">
        <f t="shared" si="2"/>
        <v>9244431.0614083316</v>
      </c>
      <c r="H45" s="22">
        <v>25</v>
      </c>
      <c r="I45" s="10">
        <f t="shared" si="3"/>
        <v>7403515.9848750746</v>
      </c>
      <c r="J45" s="10">
        <f t="shared" si="4"/>
        <v>6463130.6072374238</v>
      </c>
      <c r="K45" s="10">
        <f t="shared" si="5"/>
        <v>13866646.592112498</v>
      </c>
      <c r="N45" s="22">
        <v>25</v>
      </c>
      <c r="O45" s="10">
        <f t="shared" si="6"/>
        <v>11198293.52150327</v>
      </c>
      <c r="P45" s="10">
        <f t="shared" si="7"/>
        <v>9775900.2284206711</v>
      </c>
      <c r="Q45" s="10">
        <f t="shared" si="8"/>
        <v>20974193.749923941</v>
      </c>
    </row>
    <row r="46" spans="1:17" x14ac:dyDescent="0.25">
      <c r="A46" s="22">
        <v>26</v>
      </c>
      <c r="B46" s="10">
        <f t="shared" si="0"/>
        <v>5133104.4161800519</v>
      </c>
      <c r="C46" s="10">
        <f t="shared" si="1"/>
        <v>4111326.6452282807</v>
      </c>
      <c r="D46" s="10">
        <f t="shared" si="2"/>
        <v>9244431.0614083335</v>
      </c>
      <c r="H46" s="22">
        <v>26</v>
      </c>
      <c r="I46" s="10">
        <f t="shared" si="3"/>
        <v>7699656.6242700797</v>
      </c>
      <c r="J46" s="10">
        <f t="shared" si="4"/>
        <v>6166989.9678424215</v>
      </c>
      <c r="K46" s="10">
        <f t="shared" si="5"/>
        <v>13866646.5921125</v>
      </c>
      <c r="N46" s="22">
        <v>26</v>
      </c>
      <c r="O46" s="10">
        <f t="shared" si="6"/>
        <v>11646225.262363402</v>
      </c>
      <c r="P46" s="10">
        <f t="shared" si="7"/>
        <v>9327968.4875605423</v>
      </c>
      <c r="Q46" s="10">
        <f t="shared" si="8"/>
        <v>20974193.749923944</v>
      </c>
    </row>
    <row r="47" spans="1:17" x14ac:dyDescent="0.25">
      <c r="A47" s="22">
        <v>27</v>
      </c>
      <c r="B47" s="10">
        <f t="shared" si="0"/>
        <v>5338428.592827253</v>
      </c>
      <c r="C47" s="10">
        <f t="shared" si="1"/>
        <v>3906002.4685810781</v>
      </c>
      <c r="D47" s="10">
        <f t="shared" si="2"/>
        <v>9244431.0614083316</v>
      </c>
      <c r="H47" s="22">
        <v>27</v>
      </c>
      <c r="I47" s="10">
        <f t="shared" si="3"/>
        <v>8007642.8892408814</v>
      </c>
      <c r="J47" s="10">
        <f t="shared" si="4"/>
        <v>5859003.7028716169</v>
      </c>
      <c r="K47" s="10">
        <f t="shared" si="5"/>
        <v>13866646.592112498</v>
      </c>
      <c r="N47" s="22">
        <v>27</v>
      </c>
      <c r="O47" s="10">
        <f t="shared" si="6"/>
        <v>12112074.272857938</v>
      </c>
      <c r="P47" s="10">
        <f t="shared" si="7"/>
        <v>8862119.4770660046</v>
      </c>
      <c r="Q47" s="10">
        <f t="shared" si="8"/>
        <v>20974193.749923944</v>
      </c>
    </row>
    <row r="48" spans="1:17" x14ac:dyDescent="0.25">
      <c r="A48" s="22">
        <v>28</v>
      </c>
      <c r="B48" s="10">
        <f t="shared" si="0"/>
        <v>5551965.7365403427</v>
      </c>
      <c r="C48" s="10">
        <f t="shared" si="1"/>
        <v>3692465.3248679885</v>
      </c>
      <c r="D48" s="10">
        <f t="shared" si="2"/>
        <v>9244431.0614083316</v>
      </c>
      <c r="H48" s="22">
        <v>28</v>
      </c>
      <c r="I48" s="10">
        <f t="shared" si="3"/>
        <v>8327948.6048105154</v>
      </c>
      <c r="J48" s="10">
        <f t="shared" si="4"/>
        <v>5538697.9873019829</v>
      </c>
      <c r="K48" s="10">
        <f t="shared" si="5"/>
        <v>13866646.592112498</v>
      </c>
      <c r="N48" s="22">
        <v>28</v>
      </c>
      <c r="O48" s="10">
        <f t="shared" si="6"/>
        <v>12596557.243772253</v>
      </c>
      <c r="P48" s="10">
        <f t="shared" si="7"/>
        <v>8377636.5061516883</v>
      </c>
      <c r="Q48" s="10">
        <f t="shared" si="8"/>
        <v>20974193.749923941</v>
      </c>
    </row>
    <row r="49" spans="1:17" x14ac:dyDescent="0.25">
      <c r="A49" s="22">
        <v>29</v>
      </c>
      <c r="B49" s="10">
        <f t="shared" si="0"/>
        <v>5774044.366001958</v>
      </c>
      <c r="C49" s="10">
        <f t="shared" si="1"/>
        <v>3470386.6954063745</v>
      </c>
      <c r="D49" s="10">
        <f t="shared" si="2"/>
        <v>9244431.0614083335</v>
      </c>
      <c r="H49" s="22">
        <v>29</v>
      </c>
      <c r="I49" s="10">
        <f t="shared" si="3"/>
        <v>8661066.549002938</v>
      </c>
      <c r="J49" s="10">
        <f t="shared" si="4"/>
        <v>5205580.0431095622</v>
      </c>
      <c r="K49" s="10">
        <f t="shared" si="5"/>
        <v>13866646.5921125</v>
      </c>
      <c r="N49" s="22">
        <v>29</v>
      </c>
      <c r="O49" s="10">
        <f t="shared" si="6"/>
        <v>13100419.533523144</v>
      </c>
      <c r="P49" s="10">
        <f t="shared" si="7"/>
        <v>7873774.2164007975</v>
      </c>
      <c r="Q49" s="10">
        <f t="shared" si="8"/>
        <v>20974193.749923941</v>
      </c>
    </row>
    <row r="50" spans="1:17" x14ac:dyDescent="0.25">
      <c r="A50" s="22">
        <v>30</v>
      </c>
      <c r="B50" s="10">
        <f t="shared" si="0"/>
        <v>6005006.1406420348</v>
      </c>
      <c r="C50" s="10">
        <f t="shared" si="1"/>
        <v>3239424.9207662959</v>
      </c>
      <c r="D50" s="10">
        <f t="shared" si="2"/>
        <v>9244431.0614083298</v>
      </c>
      <c r="H50" s="22">
        <v>30</v>
      </c>
      <c r="I50" s="10">
        <f t="shared" si="3"/>
        <v>9007509.2109630536</v>
      </c>
      <c r="J50" s="10">
        <f t="shared" si="4"/>
        <v>4859137.3811494447</v>
      </c>
      <c r="K50" s="10">
        <f t="shared" si="5"/>
        <v>13866646.592112498</v>
      </c>
      <c r="N50" s="22">
        <v>30</v>
      </c>
      <c r="O50" s="10">
        <f t="shared" si="6"/>
        <v>13624436.314864071</v>
      </c>
      <c r="P50" s="10">
        <f t="shared" si="7"/>
        <v>7349757.4350598715</v>
      </c>
      <c r="Q50" s="10">
        <f t="shared" si="8"/>
        <v>20974193.749923944</v>
      </c>
    </row>
    <row r="51" spans="1:17" x14ac:dyDescent="0.25">
      <c r="A51" s="22">
        <v>31</v>
      </c>
      <c r="B51" s="10">
        <f t="shared" si="0"/>
        <v>6245206.386267717</v>
      </c>
      <c r="C51" s="10">
        <f t="shared" si="1"/>
        <v>2999224.6751406142</v>
      </c>
      <c r="D51" s="10">
        <f t="shared" si="2"/>
        <v>9244431.0614083316</v>
      </c>
      <c r="H51" s="22">
        <v>31</v>
      </c>
      <c r="I51" s="10">
        <f t="shared" si="3"/>
        <v>9367809.579401575</v>
      </c>
      <c r="J51" s="10">
        <f t="shared" si="4"/>
        <v>4498837.0127109215</v>
      </c>
      <c r="K51" s="10">
        <f t="shared" si="5"/>
        <v>13866646.592112496</v>
      </c>
      <c r="N51" s="22">
        <v>31</v>
      </c>
      <c r="O51" s="10">
        <f t="shared" si="6"/>
        <v>14169413.767458633</v>
      </c>
      <c r="P51" s="10">
        <f t="shared" si="7"/>
        <v>6804779.9824653082</v>
      </c>
      <c r="Q51" s="10">
        <f t="shared" si="8"/>
        <v>20974193.749923941</v>
      </c>
    </row>
    <row r="52" spans="1:17" x14ac:dyDescent="0.25">
      <c r="A52" s="22">
        <v>32</v>
      </c>
      <c r="B52" s="10">
        <f t="shared" si="0"/>
        <v>6495014.6417184258</v>
      </c>
      <c r="C52" s="10">
        <f t="shared" si="1"/>
        <v>2749416.4196899058</v>
      </c>
      <c r="D52" s="10">
        <f t="shared" si="2"/>
        <v>9244431.0614083316</v>
      </c>
      <c r="H52" s="22">
        <v>32</v>
      </c>
      <c r="I52" s="10">
        <f t="shared" si="3"/>
        <v>9742521.9625776391</v>
      </c>
      <c r="J52" s="10">
        <f t="shared" si="4"/>
        <v>4124124.6295348587</v>
      </c>
      <c r="K52" s="10">
        <f t="shared" si="5"/>
        <v>13866646.592112498</v>
      </c>
      <c r="N52" s="22">
        <v>32</v>
      </c>
      <c r="O52" s="10">
        <f t="shared" si="6"/>
        <v>14736190.318156976</v>
      </c>
      <c r="P52" s="10">
        <f t="shared" si="7"/>
        <v>6238003.4317669636</v>
      </c>
      <c r="Q52" s="10">
        <f t="shared" si="8"/>
        <v>20974193.749923941</v>
      </c>
    </row>
    <row r="53" spans="1:17" x14ac:dyDescent="0.25">
      <c r="A53" s="22">
        <v>33</v>
      </c>
      <c r="B53" s="10">
        <f t="shared" si="0"/>
        <v>6754815.2273871629</v>
      </c>
      <c r="C53" s="10">
        <f t="shared" si="1"/>
        <v>2489615.8340211688</v>
      </c>
      <c r="D53" s="10">
        <f t="shared" si="2"/>
        <v>9244431.0614083316</v>
      </c>
      <c r="H53" s="22">
        <v>33</v>
      </c>
      <c r="I53" s="10">
        <f t="shared" si="3"/>
        <v>10132222.841080744</v>
      </c>
      <c r="J53" s="10">
        <f t="shared" si="4"/>
        <v>3734423.7510317536</v>
      </c>
      <c r="K53" s="10">
        <f t="shared" si="5"/>
        <v>13866646.592112496</v>
      </c>
      <c r="N53" s="22">
        <v>33</v>
      </c>
      <c r="O53" s="10">
        <f t="shared" si="6"/>
        <v>15325637.930883259</v>
      </c>
      <c r="P53" s="10">
        <f t="shared" si="7"/>
        <v>5648555.819040684</v>
      </c>
      <c r="Q53" s="10">
        <f t="shared" si="8"/>
        <v>20974193.749923944</v>
      </c>
    </row>
    <row r="54" spans="1:17" x14ac:dyDescent="0.25">
      <c r="A54" s="22">
        <v>34</v>
      </c>
      <c r="B54" s="10">
        <f t="shared" si="0"/>
        <v>7025007.8364826487</v>
      </c>
      <c r="C54" s="10">
        <f t="shared" si="1"/>
        <v>2219423.2249256824</v>
      </c>
      <c r="D54" s="10">
        <f t="shared" si="2"/>
        <v>9244431.0614083316</v>
      </c>
      <c r="H54" s="22">
        <v>34</v>
      </c>
      <c r="I54" s="10">
        <f t="shared" si="3"/>
        <v>10537511.754723975</v>
      </c>
      <c r="J54" s="10">
        <f t="shared" si="4"/>
        <v>3329134.8373885234</v>
      </c>
      <c r="K54" s="10">
        <f t="shared" si="5"/>
        <v>13866646.592112498</v>
      </c>
      <c r="N54" s="22">
        <v>34</v>
      </c>
      <c r="O54" s="10">
        <f t="shared" si="6"/>
        <v>15938663.44811859</v>
      </c>
      <c r="P54" s="10">
        <f t="shared" si="7"/>
        <v>5035530.3018053537</v>
      </c>
      <c r="Q54" s="10">
        <f t="shared" si="8"/>
        <v>20974193.749923944</v>
      </c>
    </row>
    <row r="55" spans="1:17" x14ac:dyDescent="0.25">
      <c r="A55" s="22">
        <v>35</v>
      </c>
      <c r="B55" s="10">
        <f t="shared" si="0"/>
        <v>7306008.1499419548</v>
      </c>
      <c r="C55" s="10">
        <f t="shared" si="1"/>
        <v>1938422.9114663762</v>
      </c>
      <c r="D55" s="10">
        <f t="shared" si="2"/>
        <v>9244431.0614083316</v>
      </c>
      <c r="H55" s="22">
        <v>35</v>
      </c>
      <c r="I55" s="10">
        <f t="shared" si="3"/>
        <v>10959012.224912934</v>
      </c>
      <c r="J55" s="10">
        <f t="shared" si="4"/>
        <v>2907634.3671995648</v>
      </c>
      <c r="K55" s="10">
        <f t="shared" si="5"/>
        <v>13866646.592112498</v>
      </c>
      <c r="N55" s="22">
        <v>35</v>
      </c>
      <c r="O55" s="10">
        <f t="shared" si="6"/>
        <v>16576209.986043332</v>
      </c>
      <c r="P55" s="10">
        <f t="shared" si="7"/>
        <v>4397983.7638806095</v>
      </c>
      <c r="Q55" s="10">
        <f t="shared" si="8"/>
        <v>20974193.749923941</v>
      </c>
    </row>
    <row r="56" spans="1:17" x14ac:dyDescent="0.25">
      <c r="A56" s="22">
        <v>36</v>
      </c>
      <c r="B56" s="10">
        <f t="shared" si="0"/>
        <v>7598248.4759396324</v>
      </c>
      <c r="C56" s="10">
        <f t="shared" si="1"/>
        <v>1646182.5854686978</v>
      </c>
      <c r="D56" s="10">
        <f t="shared" si="2"/>
        <v>9244431.0614083298</v>
      </c>
      <c r="H56" s="22">
        <v>36</v>
      </c>
      <c r="I56" s="10">
        <f t="shared" si="3"/>
        <v>11397372.713909449</v>
      </c>
      <c r="J56" s="10">
        <f t="shared" si="4"/>
        <v>2469273.8782030474</v>
      </c>
      <c r="K56" s="10">
        <f t="shared" si="5"/>
        <v>13866646.592112496</v>
      </c>
      <c r="N56" s="22">
        <v>36</v>
      </c>
      <c r="O56" s="10">
        <f t="shared" si="6"/>
        <v>17239258.385485064</v>
      </c>
      <c r="P56" s="10">
        <f t="shared" si="7"/>
        <v>3734935.364438877</v>
      </c>
      <c r="Q56" s="10">
        <f t="shared" si="8"/>
        <v>20974193.749923941</v>
      </c>
    </row>
    <row r="57" spans="1:17" x14ac:dyDescent="0.25">
      <c r="A57" s="22">
        <v>37</v>
      </c>
      <c r="B57" s="10">
        <f t="shared" si="0"/>
        <v>7902178.414977218</v>
      </c>
      <c r="C57" s="10">
        <f t="shared" si="1"/>
        <v>1342252.6464311129</v>
      </c>
      <c r="D57" s="10">
        <f t="shared" si="2"/>
        <v>9244431.0614083316</v>
      </c>
      <c r="H57" s="22">
        <v>37</v>
      </c>
      <c r="I57" s="10">
        <f t="shared" si="3"/>
        <v>11853267.622465828</v>
      </c>
      <c r="J57" s="10">
        <f t="shared" si="4"/>
        <v>2013378.9696466695</v>
      </c>
      <c r="K57" s="10">
        <f t="shared" si="5"/>
        <v>13866646.592112498</v>
      </c>
      <c r="N57" s="22">
        <v>37</v>
      </c>
      <c r="O57" s="10">
        <f t="shared" si="6"/>
        <v>17928828.720904466</v>
      </c>
      <c r="P57" s="10">
        <f t="shared" si="7"/>
        <v>3045365.029019475</v>
      </c>
      <c r="Q57" s="10">
        <f t="shared" si="8"/>
        <v>20974193.749923941</v>
      </c>
    </row>
    <row r="58" spans="1:17" x14ac:dyDescent="0.25">
      <c r="A58" s="22">
        <v>38</v>
      </c>
      <c r="B58" s="10">
        <f t="shared" si="0"/>
        <v>8218265.551576307</v>
      </c>
      <c r="C58" s="10">
        <f t="shared" si="1"/>
        <v>1026165.5098320241</v>
      </c>
      <c r="D58" s="10">
        <f t="shared" si="2"/>
        <v>9244431.0614083316</v>
      </c>
      <c r="H58" s="22">
        <v>38</v>
      </c>
      <c r="I58" s="10">
        <f t="shared" si="3"/>
        <v>12327398.327364461</v>
      </c>
      <c r="J58" s="10">
        <f t="shared" si="4"/>
        <v>1539248.2647480364</v>
      </c>
      <c r="K58" s="10">
        <f t="shared" si="5"/>
        <v>13866646.592112498</v>
      </c>
      <c r="N58" s="22">
        <v>38</v>
      </c>
      <c r="O58" s="10">
        <f t="shared" si="6"/>
        <v>18645981.869740646</v>
      </c>
      <c r="P58" s="10">
        <f t="shared" si="7"/>
        <v>2328211.8801832963</v>
      </c>
      <c r="Q58" s="10">
        <f t="shared" si="8"/>
        <v>20974193.749923944</v>
      </c>
    </row>
    <row r="59" spans="1:17" x14ac:dyDescent="0.25">
      <c r="A59" s="22">
        <v>39</v>
      </c>
      <c r="B59" s="10">
        <f t="shared" si="0"/>
        <v>8546996.173639359</v>
      </c>
      <c r="C59" s="10">
        <f t="shared" si="1"/>
        <v>697434.88776897173</v>
      </c>
      <c r="D59" s="10">
        <f t="shared" si="2"/>
        <v>9244431.0614083298</v>
      </c>
      <c r="H59" s="22">
        <v>39</v>
      </c>
      <c r="I59" s="10">
        <f t="shared" si="3"/>
        <v>12820494.260459041</v>
      </c>
      <c r="J59" s="10">
        <f t="shared" si="4"/>
        <v>1046152.3316534577</v>
      </c>
      <c r="K59" s="10">
        <f t="shared" si="5"/>
        <v>13866646.592112498</v>
      </c>
      <c r="N59" s="22">
        <v>39</v>
      </c>
      <c r="O59" s="10">
        <f t="shared" si="6"/>
        <v>19391821.144530274</v>
      </c>
      <c r="P59" s="10">
        <f t="shared" si="7"/>
        <v>1582372.6053936703</v>
      </c>
      <c r="Q59" s="10">
        <f t="shared" si="8"/>
        <v>20974193.749923944</v>
      </c>
    </row>
    <row r="60" spans="1:17" x14ac:dyDescent="0.25">
      <c r="A60" s="22">
        <v>40</v>
      </c>
      <c r="B60" s="10">
        <f t="shared" si="0"/>
        <v>8888876.0205849335</v>
      </c>
      <c r="C60" s="10">
        <f t="shared" si="1"/>
        <v>355555.0408233974</v>
      </c>
      <c r="D60" s="10">
        <f t="shared" si="2"/>
        <v>9244431.0614083316</v>
      </c>
      <c r="H60" s="22">
        <v>40</v>
      </c>
      <c r="I60" s="10">
        <f t="shared" si="3"/>
        <v>13333314.030877402</v>
      </c>
      <c r="J60" s="10">
        <f t="shared" si="4"/>
        <v>533332.56123509607</v>
      </c>
      <c r="K60" s="10">
        <f t="shared" si="5"/>
        <v>13866646.592112498</v>
      </c>
      <c r="N60" s="22">
        <v>40</v>
      </c>
      <c r="O60" s="10">
        <f t="shared" si="6"/>
        <v>20167493.990311485</v>
      </c>
      <c r="P60" s="10">
        <f t="shared" si="7"/>
        <v>806699.75961245946</v>
      </c>
      <c r="Q60" s="10">
        <f t="shared" si="8"/>
        <v>20974193.749923944</v>
      </c>
    </row>
    <row r="61" spans="1:17" x14ac:dyDescent="0.25">
      <c r="D61" s="23">
        <f>SUM(D21:D60)</f>
        <v>369777242.45633346</v>
      </c>
      <c r="K61" s="23">
        <f>SUM(K21:K60)</f>
        <v>554665863.68449974</v>
      </c>
      <c r="Q61" s="23">
        <f>SUM(Q21:Q60)</f>
        <v>838967749.99695778</v>
      </c>
    </row>
    <row r="63" spans="1:17" x14ac:dyDescent="0.25">
      <c r="P63" s="2" t="s">
        <v>150</v>
      </c>
      <c r="Q63" s="10">
        <f>Q61*0.1</f>
        <v>83896774.999695778</v>
      </c>
    </row>
    <row r="64" spans="1:17" x14ac:dyDescent="0.25">
      <c r="P64" t="s">
        <v>149</v>
      </c>
      <c r="Q64" s="10">
        <f>-FV(0.01,100,0,Q63,0)</f>
        <v>226925157.26304352</v>
      </c>
    </row>
    <row r="66" spans="16:17" x14ac:dyDescent="0.25">
      <c r="P66" t="s">
        <v>152</v>
      </c>
      <c r="Q66" s="10">
        <f>Q61+Q64</f>
        <v>1065892907.2600013</v>
      </c>
    </row>
    <row r="67" spans="16:17" x14ac:dyDescent="0.25">
      <c r="P67" t="s">
        <v>151</v>
      </c>
      <c r="Q67" s="23">
        <v>1065892907.2593927</v>
      </c>
    </row>
  </sheetData>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24561-3612-8A49-959A-311779C5B25D}">
  <sheetPr>
    <tabColor theme="5" tint="0.39997558519241921"/>
  </sheetPr>
  <dimension ref="A1:F26"/>
  <sheetViews>
    <sheetView tabSelected="1" workbookViewId="0">
      <selection activeCell="B17" sqref="B17"/>
    </sheetView>
  </sheetViews>
  <sheetFormatPr defaultColWidth="11" defaultRowHeight="15.75" x14ac:dyDescent="0.25"/>
  <cols>
    <col min="1" max="1" width="41.875" bestFit="1" customWidth="1"/>
    <col min="2" max="2" width="18.125" customWidth="1"/>
    <col min="3" max="3" width="15.5" customWidth="1"/>
    <col min="5" max="5" width="19" customWidth="1"/>
    <col min="6" max="6" width="18.375" customWidth="1"/>
  </cols>
  <sheetData>
    <row r="1" spans="1:6" x14ac:dyDescent="0.25">
      <c r="A1" s="1" t="s">
        <v>6</v>
      </c>
    </row>
    <row r="2" spans="1:6" x14ac:dyDescent="0.25">
      <c r="A2" t="s">
        <v>7</v>
      </c>
    </row>
    <row r="3" spans="1:6" x14ac:dyDescent="0.25">
      <c r="A3" t="s">
        <v>8</v>
      </c>
      <c r="B3" s="20">
        <f>'Trad Debt Service'!S66</f>
        <v>61805050.303242758</v>
      </c>
    </row>
    <row r="4" spans="1:6" x14ac:dyDescent="0.25">
      <c r="A4" t="s">
        <v>9</v>
      </c>
      <c r="B4" s="20">
        <f>'Trad Debt Service'!X66</f>
        <v>115911019.07214876</v>
      </c>
    </row>
    <row r="5" spans="1:6" x14ac:dyDescent="0.25">
      <c r="B5" s="20">
        <f>B3+B4</f>
        <v>177716069.37539151</v>
      </c>
    </row>
    <row r="7" spans="1:6" x14ac:dyDescent="0.25">
      <c r="A7" t="s">
        <v>10</v>
      </c>
      <c r="B7" s="25">
        <f>'DOT Resurfacings'!B22</f>
        <v>6771424.9757420216</v>
      </c>
    </row>
    <row r="8" spans="1:6" x14ac:dyDescent="0.25">
      <c r="A8" t="s">
        <v>11</v>
      </c>
      <c r="B8" s="38">
        <f>'Utility Trenching Costs'!F142</f>
        <v>881405412.90825927</v>
      </c>
      <c r="C8" s="32" t="s">
        <v>124</v>
      </c>
    </row>
    <row r="9" spans="1:6" x14ac:dyDescent="0.25">
      <c r="A9" s="1" t="s">
        <v>109</v>
      </c>
      <c r="B9" s="40">
        <f>B5+B7+B8</f>
        <v>1065892907.2593927</v>
      </c>
      <c r="C9" s="10">
        <f>-PV(0.04,100,0,B9,0)</f>
        <v>21104722.320879001</v>
      </c>
    </row>
    <row r="11" spans="1:6" x14ac:dyDescent="0.25">
      <c r="A11" s="1" t="s">
        <v>144</v>
      </c>
    </row>
    <row r="12" spans="1:6" x14ac:dyDescent="0.25">
      <c r="A12" t="s">
        <v>13</v>
      </c>
      <c r="B12" s="25">
        <f>'Util Const Costs + DS '!D61</f>
        <v>369777242.45633346</v>
      </c>
    </row>
    <row r="13" spans="1:6" x14ac:dyDescent="0.25">
      <c r="A13" t="s">
        <v>15</v>
      </c>
      <c r="B13" s="25">
        <f>F15</f>
        <v>100017859.92012486</v>
      </c>
      <c r="C13" s="32" t="s">
        <v>124</v>
      </c>
      <c r="E13" t="s">
        <v>108</v>
      </c>
    </row>
    <row r="14" spans="1:6" x14ac:dyDescent="0.25">
      <c r="A14" s="1" t="s">
        <v>110</v>
      </c>
      <c r="B14" s="45">
        <f>B12+B13</f>
        <v>469795102.37645829</v>
      </c>
      <c r="C14" s="10">
        <f>-PV(0.04,100,0,B14,0)</f>
        <v>9301961.8723771218</v>
      </c>
      <c r="F14" t="s">
        <v>111</v>
      </c>
    </row>
    <row r="15" spans="1:6" x14ac:dyDescent="0.25">
      <c r="E15" s="38">
        <f>B12*0.1</f>
        <v>36977724.245633349</v>
      </c>
      <c r="F15" s="10">
        <f>-FV(0.01,100,0,E15,0)</f>
        <v>100017859.92012486</v>
      </c>
    </row>
    <row r="17" spans="1:6" x14ac:dyDescent="0.25">
      <c r="A17" s="1" t="s">
        <v>145</v>
      </c>
    </row>
    <row r="18" spans="1:6" x14ac:dyDescent="0.25">
      <c r="A18" t="s">
        <v>13</v>
      </c>
      <c r="B18" s="25">
        <f>'Util Const Costs + DS '!K61</f>
        <v>554665863.68449974</v>
      </c>
    </row>
    <row r="19" spans="1:6" x14ac:dyDescent="0.25">
      <c r="A19" t="s">
        <v>15</v>
      </c>
      <c r="B19" s="25">
        <f>F21</f>
        <v>150026789.88018715</v>
      </c>
      <c r="C19" s="32" t="s">
        <v>124</v>
      </c>
      <c r="E19" t="s">
        <v>108</v>
      </c>
    </row>
    <row r="20" spans="1:6" x14ac:dyDescent="0.25">
      <c r="A20" s="1" t="s">
        <v>110</v>
      </c>
      <c r="B20" s="45">
        <f>B18+B19</f>
        <v>704692653.56468689</v>
      </c>
      <c r="C20" s="10">
        <f>-PV(0.04,100,0,B20,0)</f>
        <v>13952942.808565671</v>
      </c>
      <c r="F20" t="s">
        <v>111</v>
      </c>
    </row>
    <row r="21" spans="1:6" x14ac:dyDescent="0.25">
      <c r="E21" s="38">
        <f>B18*0.1</f>
        <v>55466586.368449979</v>
      </c>
      <c r="F21" s="10">
        <f>-FV(0.01,100,0,E21,0)</f>
        <v>150026789.88018715</v>
      </c>
    </row>
    <row r="25" spans="1:6" x14ac:dyDescent="0.25">
      <c r="A25" s="1" t="s">
        <v>146</v>
      </c>
      <c r="B25" s="13">
        <f>B9/B14</f>
        <v>2.2688463584817593</v>
      </c>
      <c r="C25" s="13">
        <f>C9/C14</f>
        <v>2.2688463584817593</v>
      </c>
    </row>
    <row r="26" spans="1:6" x14ac:dyDescent="0.25">
      <c r="A26" s="1" t="s">
        <v>147</v>
      </c>
      <c r="B26" s="13">
        <f>B9/B20</f>
        <v>1.5125642389878406</v>
      </c>
      <c r="C26" s="13">
        <f>C9/C20</f>
        <v>1.5125642389878409</v>
      </c>
    </row>
  </sheetData>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18E7C-74F8-7840-8356-590452036B79}">
  <sheetPr>
    <tabColor theme="7" tint="0.79998168889431442"/>
  </sheetPr>
  <dimension ref="B2:J59"/>
  <sheetViews>
    <sheetView workbookViewId="0">
      <selection activeCell="Q33" sqref="Q33"/>
    </sheetView>
  </sheetViews>
  <sheetFormatPr defaultColWidth="11" defaultRowHeight="15.75" x14ac:dyDescent="0.25"/>
  <cols>
    <col min="2" max="2" width="13.875" bestFit="1" customWidth="1"/>
    <col min="3" max="4" width="17" bestFit="1" customWidth="1"/>
    <col min="5" max="5" width="11.625" bestFit="1" customWidth="1"/>
    <col min="6" max="6" width="15.375" bestFit="1" customWidth="1"/>
    <col min="7" max="7" width="14.375" bestFit="1" customWidth="1"/>
    <col min="8" max="8" width="16" bestFit="1" customWidth="1"/>
    <col min="9" max="9" width="15" bestFit="1" customWidth="1"/>
  </cols>
  <sheetData>
    <row r="2" spans="2:10" x14ac:dyDescent="0.25">
      <c r="B2" s="48"/>
      <c r="C2" s="48"/>
      <c r="D2" s="48"/>
      <c r="E2" s="48"/>
      <c r="F2" s="48" t="s">
        <v>124</v>
      </c>
      <c r="G2" s="48"/>
      <c r="H2" s="54" t="s">
        <v>128</v>
      </c>
      <c r="I2" s="48"/>
      <c r="J2" s="48"/>
    </row>
    <row r="3" spans="2:10" x14ac:dyDescent="0.25">
      <c r="B3" s="48" t="s">
        <v>125</v>
      </c>
      <c r="C3" s="48" t="s">
        <v>126</v>
      </c>
      <c r="D3" s="48" t="s">
        <v>12</v>
      </c>
      <c r="E3" s="48" t="s">
        <v>127</v>
      </c>
      <c r="F3" s="48" t="s">
        <v>126</v>
      </c>
      <c r="G3" s="48" t="s">
        <v>12</v>
      </c>
      <c r="H3" s="48" t="s">
        <v>126</v>
      </c>
      <c r="I3" s="48" t="s">
        <v>12</v>
      </c>
      <c r="J3" s="48" t="s">
        <v>127</v>
      </c>
    </row>
    <row r="4" spans="2:10" x14ac:dyDescent="0.25">
      <c r="B4" s="49">
        <v>0.01</v>
      </c>
      <c r="C4" s="51">
        <v>1022632906.01</v>
      </c>
      <c r="D4" s="51">
        <v>224071465.74000001</v>
      </c>
      <c r="E4" s="52">
        <f>C4/D4</f>
        <v>4.5638694004733562</v>
      </c>
      <c r="F4" s="51">
        <v>378078851.44999999</v>
      </c>
      <c r="G4" s="51">
        <v>82841733.25</v>
      </c>
      <c r="H4" s="55">
        <f>-F4</f>
        <v>-378078851.44999999</v>
      </c>
      <c r="I4" s="55">
        <f>-G4</f>
        <v>-82841733.25</v>
      </c>
      <c r="J4" s="52">
        <f>F4/G4</f>
        <v>4.5638694003302973</v>
      </c>
    </row>
    <row r="5" spans="2:10" x14ac:dyDescent="0.25">
      <c r="B5" s="49">
        <v>0.02</v>
      </c>
      <c r="C5" s="51">
        <v>1033137197.21</v>
      </c>
      <c r="D5" s="51">
        <v>291008369.94</v>
      </c>
      <c r="E5" s="52">
        <f t="shared" ref="E5:E13" si="0">C5/D5</f>
        <v>3.5501975335727005</v>
      </c>
      <c r="F5" s="51">
        <v>142606992.84999999</v>
      </c>
      <c r="G5" s="51">
        <v>40168748.780000001</v>
      </c>
      <c r="H5" s="55">
        <f t="shared" ref="H5:I13" si="1">-F5</f>
        <v>-142606992.84999999</v>
      </c>
      <c r="I5" s="55">
        <f t="shared" si="1"/>
        <v>-40168748.780000001</v>
      </c>
      <c r="J5" s="52">
        <f t="shared" ref="J5:J13" si="2">F5/G5</f>
        <v>3.5501975336857874</v>
      </c>
    </row>
    <row r="6" spans="2:10" x14ac:dyDescent="0.25">
      <c r="B6" s="49">
        <v>0.03</v>
      </c>
      <c r="C6" s="51">
        <v>1045109485.04</v>
      </c>
      <c r="D6" s="51">
        <v>372354509.54000002</v>
      </c>
      <c r="E6" s="52">
        <f t="shared" si="0"/>
        <v>2.8067593066916503</v>
      </c>
      <c r="F6" s="51">
        <v>54380014.460000001</v>
      </c>
      <c r="G6" s="51">
        <v>19374662.559999999</v>
      </c>
      <c r="H6" s="55">
        <f t="shared" si="1"/>
        <v>-54380014.460000001</v>
      </c>
      <c r="I6" s="55">
        <f t="shared" si="1"/>
        <v>-19374662.559999999</v>
      </c>
      <c r="J6" s="52">
        <f t="shared" si="2"/>
        <v>2.806759306986351</v>
      </c>
    </row>
    <row r="7" spans="2:10" x14ac:dyDescent="0.25">
      <c r="B7" s="49">
        <v>0.04</v>
      </c>
      <c r="C7" s="50">
        <v>1065892907.26</v>
      </c>
      <c r="D7" s="50">
        <v>469795102.38</v>
      </c>
      <c r="E7" s="53">
        <f t="shared" si="0"/>
        <v>2.2688463584659475</v>
      </c>
      <c r="F7" s="50">
        <v>21104830.210000001</v>
      </c>
      <c r="G7" s="50">
        <v>9301961.8699999992</v>
      </c>
      <c r="H7" s="55">
        <f t="shared" si="1"/>
        <v>-21104830.210000001</v>
      </c>
      <c r="I7" s="55">
        <f t="shared" si="1"/>
        <v>-9301961.8699999992</v>
      </c>
      <c r="J7" s="53">
        <f t="shared" si="2"/>
        <v>2.268857957595563</v>
      </c>
    </row>
    <row r="8" spans="2:10" x14ac:dyDescent="0.25">
      <c r="B8" s="49">
        <v>0.05</v>
      </c>
      <c r="C8" s="51">
        <v>1077692239.1300001</v>
      </c>
      <c r="D8" s="51">
        <v>585017242.53999996</v>
      </c>
      <c r="E8" s="52">
        <f t="shared" si="0"/>
        <v>1.8421546593241036</v>
      </c>
      <c r="F8" s="51">
        <v>8195299.8499999996</v>
      </c>
      <c r="G8" s="51">
        <v>4448757.7699999996</v>
      </c>
      <c r="H8" s="55">
        <f t="shared" si="1"/>
        <v>-8195299.8499999996</v>
      </c>
      <c r="I8" s="55">
        <f t="shared" si="1"/>
        <v>-4448757.7699999996</v>
      </c>
      <c r="J8" s="52">
        <f t="shared" si="2"/>
        <v>1.842154658377815</v>
      </c>
    </row>
    <row r="9" spans="2:10" x14ac:dyDescent="0.25">
      <c r="B9" s="49">
        <v>0.06</v>
      </c>
      <c r="C9" s="51">
        <v>1103484820.04</v>
      </c>
      <c r="D9" s="51">
        <v>719723576.57000005</v>
      </c>
      <c r="E9" s="52">
        <f t="shared" si="0"/>
        <v>1.5332064364195181</v>
      </c>
      <c r="F9" s="51">
        <v>3252219.4</v>
      </c>
      <c r="G9" s="51">
        <v>2121188.2000000002</v>
      </c>
      <c r="H9" s="55">
        <f t="shared" si="1"/>
        <v>-3252219.4</v>
      </c>
      <c r="I9" s="55">
        <f t="shared" si="1"/>
        <v>-2121188.2000000002</v>
      </c>
      <c r="J9" s="52">
        <f t="shared" si="2"/>
        <v>1.5332064359022928</v>
      </c>
    </row>
    <row r="10" spans="2:10" x14ac:dyDescent="0.25">
      <c r="B10" s="49">
        <v>7.0000000000000007E-2</v>
      </c>
      <c r="C10" s="51">
        <v>1143946084.95</v>
      </c>
      <c r="D10" s="51">
        <v>875654602.94000006</v>
      </c>
      <c r="E10" s="52">
        <f t="shared" si="0"/>
        <v>1.3063896211008479</v>
      </c>
      <c r="F10" s="51">
        <v>1318341.0900000001</v>
      </c>
      <c r="G10" s="51">
        <v>1009148.47</v>
      </c>
      <c r="H10" s="55">
        <f t="shared" si="1"/>
        <v>-1318341.0900000001</v>
      </c>
      <c r="I10" s="55">
        <f t="shared" si="1"/>
        <v>-1009148.47</v>
      </c>
      <c r="J10" s="52">
        <f t="shared" si="2"/>
        <v>1.3063896237190946</v>
      </c>
    </row>
    <row r="11" spans="2:10" x14ac:dyDescent="0.25">
      <c r="B11" s="49">
        <v>0.08</v>
      </c>
      <c r="C11" s="51">
        <v>1213911622.8900001</v>
      </c>
      <c r="D11" s="51">
        <v>1054615553.7</v>
      </c>
      <c r="E11" s="52">
        <f t="shared" si="0"/>
        <v>1.1510465767654647</v>
      </c>
      <c r="F11" s="51">
        <v>551837.9</v>
      </c>
      <c r="G11" s="51">
        <v>479422.73</v>
      </c>
      <c r="H11" s="55">
        <f t="shared" si="1"/>
        <v>-551837.9</v>
      </c>
      <c r="I11" s="55">
        <f t="shared" si="1"/>
        <v>-479422.73</v>
      </c>
      <c r="J11" s="52">
        <f t="shared" si="2"/>
        <v>1.1510465930557778</v>
      </c>
    </row>
    <row r="12" spans="2:10" x14ac:dyDescent="0.25">
      <c r="B12" s="49">
        <v>0.09</v>
      </c>
      <c r="C12" s="51">
        <v>1344076463.3800001</v>
      </c>
      <c r="D12" s="51">
        <v>1258504308.45</v>
      </c>
      <c r="E12" s="52">
        <f t="shared" si="0"/>
        <v>1.0679951227464548</v>
      </c>
      <c r="F12" s="51">
        <v>243093.97</v>
      </c>
      <c r="G12" s="51">
        <v>227617.11</v>
      </c>
      <c r="H12" s="55">
        <f t="shared" si="1"/>
        <v>-243093.97</v>
      </c>
      <c r="I12" s="55">
        <f t="shared" si="1"/>
        <v>-227617.11</v>
      </c>
      <c r="J12" s="52">
        <f t="shared" si="2"/>
        <v>1.0679951520340454</v>
      </c>
    </row>
    <row r="13" spans="2:10" x14ac:dyDescent="0.25">
      <c r="B13" s="49">
        <v>0.1</v>
      </c>
      <c r="C13" s="51">
        <v>1597877850.1400001</v>
      </c>
      <c r="D13" s="51">
        <v>1489337814.54</v>
      </c>
      <c r="E13" s="52">
        <f t="shared" si="0"/>
        <v>1.072878049922827</v>
      </c>
      <c r="F13" s="51">
        <v>115951.15</v>
      </c>
      <c r="G13" s="51">
        <v>108074.86</v>
      </c>
      <c r="H13" s="55">
        <f t="shared" si="1"/>
        <v>-115951.15</v>
      </c>
      <c r="I13" s="55">
        <f t="shared" si="1"/>
        <v>-108074.86</v>
      </c>
      <c r="J13" s="52">
        <f t="shared" si="2"/>
        <v>1.072878095793971</v>
      </c>
    </row>
    <row r="14" spans="2:10" x14ac:dyDescent="0.25">
      <c r="B14" s="49"/>
      <c r="C14" s="51"/>
      <c r="D14" s="51"/>
      <c r="E14" s="52"/>
      <c r="F14" s="51"/>
      <c r="G14" s="51"/>
      <c r="H14" s="55"/>
      <c r="I14" s="55"/>
      <c r="J14" s="52"/>
    </row>
    <row r="15" spans="2:10" x14ac:dyDescent="0.25">
      <c r="H15" s="54" t="s">
        <v>128</v>
      </c>
    </row>
    <row r="16" spans="2:10" x14ac:dyDescent="0.25">
      <c r="B16" s="48" t="s">
        <v>129</v>
      </c>
      <c r="C16" s="48" t="s">
        <v>126</v>
      </c>
      <c r="D16" s="48" t="s">
        <v>12</v>
      </c>
      <c r="E16" s="48" t="s">
        <v>127</v>
      </c>
      <c r="F16" s="48" t="s">
        <v>126</v>
      </c>
      <c r="G16" s="48" t="s">
        <v>12</v>
      </c>
      <c r="H16" s="48" t="s">
        <v>126</v>
      </c>
      <c r="I16" s="48" t="s">
        <v>12</v>
      </c>
      <c r="J16" s="48" t="s">
        <v>127</v>
      </c>
    </row>
    <row r="17" spans="2:10" x14ac:dyDescent="0.25">
      <c r="B17" s="56" t="s">
        <v>130</v>
      </c>
      <c r="C17" s="51">
        <v>709956867.99000001</v>
      </c>
      <c r="D17" s="51">
        <v>469795102.38</v>
      </c>
      <c r="E17" s="52">
        <f>C17/D17</f>
        <v>1.5112053412079678</v>
      </c>
      <c r="F17" s="51">
        <v>14057174.470000001</v>
      </c>
      <c r="G17" s="51">
        <v>9301961.8699999992</v>
      </c>
      <c r="H17" s="55">
        <f>-F17</f>
        <v>-14057174.470000001</v>
      </c>
      <c r="I17" s="55">
        <f>-G17</f>
        <v>-9301961.8699999992</v>
      </c>
      <c r="J17" s="52">
        <f t="shared" ref="J17:J21" si="3">F17/G17</f>
        <v>1.511205342104891</v>
      </c>
    </row>
    <row r="18" spans="2:10" x14ac:dyDescent="0.25">
      <c r="B18" s="56" t="s">
        <v>131</v>
      </c>
      <c r="C18" s="51">
        <v>841324211.39999998</v>
      </c>
      <c r="D18" s="51">
        <v>469795102.38</v>
      </c>
      <c r="E18" s="52">
        <f t="shared" ref="E18:E21" si="4">C18/D18</f>
        <v>1.7908322311957261</v>
      </c>
      <c r="F18" s="51">
        <v>16658253.130000001</v>
      </c>
      <c r="G18" s="51">
        <v>9301961.8699999992</v>
      </c>
      <c r="H18" s="55">
        <f t="shared" ref="H18:H21" si="5">-F18</f>
        <v>-16658253.130000001</v>
      </c>
      <c r="I18" s="55">
        <f t="shared" ref="I18:I21" si="6">-G18</f>
        <v>-9301961.8699999992</v>
      </c>
      <c r="J18" s="52">
        <f t="shared" si="3"/>
        <v>1.7908322311796363</v>
      </c>
    </row>
    <row r="19" spans="2:10" x14ac:dyDescent="0.25">
      <c r="B19" s="56" t="s">
        <v>132</v>
      </c>
      <c r="C19" s="51">
        <v>1065892907.26</v>
      </c>
      <c r="D19" s="51">
        <v>469795102.38</v>
      </c>
      <c r="E19" s="52">
        <f t="shared" si="4"/>
        <v>2.2688463584659475</v>
      </c>
      <c r="F19" s="51">
        <v>21104830.210000001</v>
      </c>
      <c r="G19" s="51">
        <v>9301961.8699999992</v>
      </c>
      <c r="H19" s="55">
        <f t="shared" si="5"/>
        <v>-21104830.210000001</v>
      </c>
      <c r="I19" s="55">
        <f t="shared" si="6"/>
        <v>-9301961.8699999992</v>
      </c>
      <c r="J19" s="52">
        <f t="shared" si="3"/>
        <v>2.268857957595563</v>
      </c>
    </row>
    <row r="20" spans="2:10" x14ac:dyDescent="0.25">
      <c r="B20" s="56" t="s">
        <v>133</v>
      </c>
      <c r="C20" s="51">
        <v>1498160928.46</v>
      </c>
      <c r="D20" s="51">
        <v>469795102.38</v>
      </c>
      <c r="E20" s="52">
        <f t="shared" si="4"/>
        <v>3.1889666811558048</v>
      </c>
      <c r="F20" s="51">
        <v>29663646.48</v>
      </c>
      <c r="G20" s="51">
        <v>9301961.8699999992</v>
      </c>
      <c r="H20" s="55">
        <f t="shared" si="5"/>
        <v>-29663646.48</v>
      </c>
      <c r="I20" s="55">
        <f t="shared" si="6"/>
        <v>-9301961.8699999992</v>
      </c>
      <c r="J20" s="52">
        <f t="shared" si="3"/>
        <v>3.1889666819285729</v>
      </c>
    </row>
    <row r="21" spans="2:10" x14ac:dyDescent="0.25">
      <c r="B21" s="56">
        <v>1</v>
      </c>
      <c r="C21" s="51">
        <v>2811834362.5599999</v>
      </c>
      <c r="D21" s="51">
        <v>469795102.38</v>
      </c>
      <c r="E21" s="52">
        <f t="shared" si="4"/>
        <v>5.9852355810333897</v>
      </c>
      <c r="F21" s="51">
        <v>55674433.170000002</v>
      </c>
      <c r="G21" s="51">
        <v>9301961.8699999992</v>
      </c>
      <c r="H21" s="55">
        <f t="shared" si="5"/>
        <v>-55674433.170000002</v>
      </c>
      <c r="I21" s="55">
        <f t="shared" si="6"/>
        <v>-9301961.8699999992</v>
      </c>
      <c r="J21" s="52">
        <f t="shared" si="3"/>
        <v>5.9852355823514038</v>
      </c>
    </row>
    <row r="22" spans="2:10" x14ac:dyDescent="0.25">
      <c r="C22" s="51"/>
      <c r="D22" s="51"/>
      <c r="E22" s="51"/>
      <c r="F22" s="51"/>
      <c r="G22" s="51"/>
    </row>
    <row r="23" spans="2:10" x14ac:dyDescent="0.25">
      <c r="H23" s="54" t="s">
        <v>128</v>
      </c>
    </row>
    <row r="24" spans="2:10" x14ac:dyDescent="0.25">
      <c r="B24" s="48" t="s">
        <v>134</v>
      </c>
      <c r="C24" s="48" t="s">
        <v>126</v>
      </c>
      <c r="D24" s="48" t="s">
        <v>12</v>
      </c>
      <c r="E24" s="48" t="s">
        <v>127</v>
      </c>
      <c r="F24" s="48" t="s">
        <v>126</v>
      </c>
      <c r="G24" s="48" t="s">
        <v>12</v>
      </c>
      <c r="H24" s="48" t="s">
        <v>126</v>
      </c>
      <c r="I24" s="48" t="s">
        <v>12</v>
      </c>
      <c r="J24" s="48" t="s">
        <v>127</v>
      </c>
    </row>
    <row r="25" spans="2:10" x14ac:dyDescent="0.25">
      <c r="B25" s="49">
        <v>0.5</v>
      </c>
      <c r="C25" s="51">
        <v>970535966.77999997</v>
      </c>
      <c r="D25" s="51">
        <v>469795102.38</v>
      </c>
      <c r="E25" s="52">
        <f>C25/D25</f>
        <v>2.0658707633673226</v>
      </c>
      <c r="F25" s="51">
        <v>19216651.07</v>
      </c>
      <c r="G25" s="51">
        <v>9301961.8699999992</v>
      </c>
      <c r="H25" s="55">
        <f>-F25</f>
        <v>-19216651.07</v>
      </c>
      <c r="I25" s="55">
        <f>-G25</f>
        <v>-9301961.8699999992</v>
      </c>
      <c r="J25" s="52">
        <f t="shared" ref="J25:J35" si="7">F25/G25</f>
        <v>2.0658707634543338</v>
      </c>
    </row>
    <row r="26" spans="2:10" x14ac:dyDescent="0.25">
      <c r="B26" s="49">
        <v>0.6</v>
      </c>
      <c r="C26" s="51">
        <v>988307573.72000003</v>
      </c>
      <c r="D26" s="51">
        <v>469795102.38</v>
      </c>
      <c r="E26" s="52">
        <f t="shared" ref="E26:E35" si="8">C26/D26</f>
        <v>2.1036991844171982</v>
      </c>
      <c r="F26" s="51">
        <v>19568529.600000001</v>
      </c>
      <c r="G26" s="51">
        <v>9301961.8699999992</v>
      </c>
      <c r="H26" s="55">
        <f t="shared" ref="H26:H29" si="9">-F26</f>
        <v>-19568529.600000001</v>
      </c>
      <c r="I26" s="55">
        <f t="shared" ref="I26:I29" si="10">-G26</f>
        <v>-9301961.8699999992</v>
      </c>
      <c r="J26" s="52">
        <f t="shared" si="7"/>
        <v>2.103699184481822</v>
      </c>
    </row>
    <row r="27" spans="2:10" x14ac:dyDescent="0.25">
      <c r="B27" s="49">
        <v>0.7</v>
      </c>
      <c r="C27" s="51">
        <v>1006079180.65</v>
      </c>
      <c r="D27" s="51">
        <v>469795102.38</v>
      </c>
      <c r="E27" s="52">
        <f t="shared" si="8"/>
        <v>2.1415276054457877</v>
      </c>
      <c r="F27" s="51">
        <v>19920408.129999999</v>
      </c>
      <c r="G27" s="51">
        <v>9301961.8699999992</v>
      </c>
      <c r="H27" s="55">
        <f t="shared" si="9"/>
        <v>-19920408.129999999</v>
      </c>
      <c r="I27" s="55">
        <f t="shared" si="10"/>
        <v>-9301961.8699999992</v>
      </c>
      <c r="J27" s="52">
        <f t="shared" si="7"/>
        <v>2.1415276055093098</v>
      </c>
    </row>
    <row r="28" spans="2:10" x14ac:dyDescent="0.25">
      <c r="B28" s="49">
        <v>0.8</v>
      </c>
      <c r="C28" s="51">
        <v>1023850787.59</v>
      </c>
      <c r="D28" s="51">
        <v>469795102.38</v>
      </c>
      <c r="E28" s="52">
        <f t="shared" si="8"/>
        <v>2.1793560264956633</v>
      </c>
      <c r="F28" s="51">
        <v>20272286.66</v>
      </c>
      <c r="G28" s="51">
        <v>9301961.8699999992</v>
      </c>
      <c r="H28" s="55">
        <f t="shared" si="9"/>
        <v>-20272286.66</v>
      </c>
      <c r="I28" s="55">
        <f t="shared" si="10"/>
        <v>-9301961.8699999992</v>
      </c>
      <c r="J28" s="52">
        <f t="shared" si="7"/>
        <v>2.1793560265367979</v>
      </c>
    </row>
    <row r="29" spans="2:10" x14ac:dyDescent="0.25">
      <c r="B29" s="49">
        <v>0.9</v>
      </c>
      <c r="C29" s="51">
        <v>1041622394.53</v>
      </c>
      <c r="D29" s="51">
        <v>469795102.38</v>
      </c>
      <c r="E29" s="52">
        <f t="shared" si="8"/>
        <v>2.2171844475455385</v>
      </c>
      <c r="F29" s="51">
        <v>20624165.199999999</v>
      </c>
      <c r="G29" s="51">
        <v>9301961.8699999992</v>
      </c>
      <c r="H29" s="55">
        <f t="shared" si="9"/>
        <v>-20624165.199999999</v>
      </c>
      <c r="I29" s="55">
        <f t="shared" si="10"/>
        <v>-9301961.8699999992</v>
      </c>
      <c r="J29" s="52">
        <f t="shared" si="7"/>
        <v>2.217184448639328</v>
      </c>
    </row>
    <row r="30" spans="2:10" x14ac:dyDescent="0.25">
      <c r="B30" s="49">
        <v>1</v>
      </c>
      <c r="C30" s="51">
        <v>1065892907.26</v>
      </c>
      <c r="D30" s="51">
        <v>469795102.38</v>
      </c>
      <c r="E30" s="52">
        <f t="shared" si="8"/>
        <v>2.2688463584659475</v>
      </c>
      <c r="F30" s="51">
        <v>21104830.210000001</v>
      </c>
      <c r="G30" s="51">
        <v>9301961.8699999992</v>
      </c>
      <c r="H30" s="55">
        <f t="shared" ref="H30:H35" si="11">-F30</f>
        <v>-21104830.210000001</v>
      </c>
      <c r="I30" s="55">
        <f t="shared" ref="I30:I35" si="12">-G30</f>
        <v>-9301961.8699999992</v>
      </c>
      <c r="J30" s="52">
        <f t="shared" si="7"/>
        <v>2.268857957595563</v>
      </c>
    </row>
    <row r="31" spans="2:10" x14ac:dyDescent="0.25">
      <c r="B31" s="49">
        <v>1.1000000000000001</v>
      </c>
      <c r="C31" s="51">
        <v>1077165608.4000001</v>
      </c>
      <c r="D31" s="51">
        <v>469795102.38</v>
      </c>
      <c r="E31" s="52">
        <f t="shared" si="8"/>
        <v>2.292841289624004</v>
      </c>
      <c r="F31" s="51">
        <v>21327922.260000002</v>
      </c>
      <c r="G31" s="51">
        <v>9301961.8699999992</v>
      </c>
      <c r="H31" s="55">
        <f t="shared" si="11"/>
        <v>-21327922.260000002</v>
      </c>
      <c r="I31" s="55">
        <f t="shared" si="12"/>
        <v>-9301961.8699999992</v>
      </c>
      <c r="J31" s="52">
        <f t="shared" si="7"/>
        <v>2.2928412906943043</v>
      </c>
    </row>
    <row r="32" spans="2:10" x14ac:dyDescent="0.25">
      <c r="B32" s="49">
        <v>1.2</v>
      </c>
      <c r="C32" s="51">
        <v>1094937215.3399999</v>
      </c>
      <c r="D32" s="51">
        <v>469795102.38</v>
      </c>
      <c r="E32" s="52">
        <f t="shared" si="8"/>
        <v>2.3306697106738787</v>
      </c>
      <c r="F32" s="51">
        <v>21679800.789999999</v>
      </c>
      <c r="G32" s="51">
        <v>9301961.8699999992</v>
      </c>
      <c r="H32" s="55">
        <f t="shared" si="11"/>
        <v>-21679800.789999999</v>
      </c>
      <c r="I32" s="55">
        <f t="shared" si="12"/>
        <v>-9301961.8699999992</v>
      </c>
      <c r="J32" s="52">
        <f t="shared" si="7"/>
        <v>2.330669711721792</v>
      </c>
    </row>
    <row r="33" spans="2:10" x14ac:dyDescent="0.25">
      <c r="B33" s="49">
        <v>1.3</v>
      </c>
      <c r="C33" s="51">
        <v>1112708822.28</v>
      </c>
      <c r="D33" s="51">
        <v>469795102.38</v>
      </c>
      <c r="E33" s="52">
        <f t="shared" si="8"/>
        <v>2.3684981317237543</v>
      </c>
      <c r="F33" s="51">
        <v>22031679.32</v>
      </c>
      <c r="G33" s="51">
        <v>9301961.8699999992</v>
      </c>
      <c r="H33" s="55">
        <f t="shared" si="11"/>
        <v>-22031679.32</v>
      </c>
      <c r="I33" s="55">
        <f t="shared" si="12"/>
        <v>-9301961.8699999992</v>
      </c>
      <c r="J33" s="52">
        <f t="shared" si="7"/>
        <v>2.3684981327492802</v>
      </c>
    </row>
    <row r="34" spans="2:10" x14ac:dyDescent="0.25">
      <c r="B34" s="49">
        <v>1.4</v>
      </c>
      <c r="C34" s="51">
        <v>1130480429.22</v>
      </c>
      <c r="D34" s="51">
        <v>469795102.38</v>
      </c>
      <c r="E34" s="52">
        <f t="shared" si="8"/>
        <v>2.4063265527736299</v>
      </c>
      <c r="F34" s="51">
        <v>22383557.850000001</v>
      </c>
      <c r="G34" s="51">
        <v>9301961.8699999992</v>
      </c>
      <c r="H34" s="55">
        <f t="shared" si="11"/>
        <v>-22383557.850000001</v>
      </c>
      <c r="I34" s="55">
        <f t="shared" si="12"/>
        <v>-9301961.8699999992</v>
      </c>
      <c r="J34" s="52">
        <f t="shared" si="7"/>
        <v>2.4063265537767684</v>
      </c>
    </row>
    <row r="35" spans="2:10" x14ac:dyDescent="0.25">
      <c r="B35" s="49">
        <v>1.5</v>
      </c>
      <c r="C35" s="51">
        <v>1148252036.1500001</v>
      </c>
      <c r="D35" s="51">
        <v>469795102.38</v>
      </c>
      <c r="E35" s="52">
        <f t="shared" si="8"/>
        <v>2.4441549738022199</v>
      </c>
      <c r="F35" s="51">
        <v>22735436.379999999</v>
      </c>
      <c r="G35" s="51">
        <v>9301961.8699999992</v>
      </c>
      <c r="H35" s="55">
        <f t="shared" si="11"/>
        <v>-22735436.379999999</v>
      </c>
      <c r="I35" s="55">
        <f t="shared" si="12"/>
        <v>-9301961.8699999992</v>
      </c>
      <c r="J35" s="52">
        <f t="shared" si="7"/>
        <v>2.4441549748042561</v>
      </c>
    </row>
    <row r="37" spans="2:10" x14ac:dyDescent="0.25">
      <c r="B37" s="48"/>
      <c r="C37" s="48"/>
      <c r="D37" s="48"/>
      <c r="E37" s="48"/>
      <c r="F37" s="48" t="s">
        <v>124</v>
      </c>
      <c r="G37" s="48"/>
      <c r="H37" s="54" t="s">
        <v>128</v>
      </c>
    </row>
    <row r="38" spans="2:10" x14ac:dyDescent="0.25">
      <c r="B38" s="48" t="s">
        <v>135</v>
      </c>
      <c r="C38" s="48" t="s">
        <v>126</v>
      </c>
      <c r="D38" s="48" t="s">
        <v>12</v>
      </c>
      <c r="E38" s="48" t="s">
        <v>127</v>
      </c>
      <c r="F38" s="48" t="s">
        <v>126</v>
      </c>
      <c r="G38" s="48" t="s">
        <v>12</v>
      </c>
      <c r="H38" s="48" t="s">
        <v>126</v>
      </c>
      <c r="I38" s="48" t="s">
        <v>12</v>
      </c>
      <c r="J38" s="48" t="s">
        <v>127</v>
      </c>
    </row>
    <row r="39" spans="2:10" x14ac:dyDescent="0.25">
      <c r="B39" s="48">
        <v>278</v>
      </c>
      <c r="C39" s="51">
        <v>832720879.59000003</v>
      </c>
      <c r="D39" s="51">
        <v>469795102.38</v>
      </c>
      <c r="E39" s="52">
        <f>C39/D39</f>
        <v>1.7725192863258985</v>
      </c>
      <c r="F39" s="51">
        <v>16487906.82</v>
      </c>
      <c r="G39" s="51">
        <v>9301961.8699999992</v>
      </c>
      <c r="H39" s="55">
        <f>-F39</f>
        <v>-16487906.82</v>
      </c>
      <c r="I39" s="55">
        <f>-G39</f>
        <v>-9301961.8699999992</v>
      </c>
      <c r="J39" s="52">
        <f t="shared" ref="J39:J59" si="13">F39/G39</f>
        <v>1.7725192868372832</v>
      </c>
    </row>
    <row r="40" spans="2:10" x14ac:dyDescent="0.25">
      <c r="B40" s="48">
        <v>288</v>
      </c>
      <c r="C40" s="51">
        <v>856038627.25999999</v>
      </c>
      <c r="D40" s="51">
        <v>469795102.38</v>
      </c>
      <c r="E40" s="52">
        <f t="shared" ref="E40:E59" si="14">C40/D40</f>
        <v>1.8221531534136381</v>
      </c>
      <c r="F40" s="51">
        <v>16949599.16</v>
      </c>
      <c r="G40" s="51">
        <v>9301961.8699999992</v>
      </c>
      <c r="H40" s="55">
        <f t="shared" ref="H40:H49" si="15">-F40</f>
        <v>-16949599.16</v>
      </c>
      <c r="I40" s="55">
        <f t="shared" ref="I40:I49" si="16">-G40</f>
        <v>-9301961.8699999992</v>
      </c>
      <c r="J40" s="52">
        <f t="shared" si="13"/>
        <v>1.8221531540206155</v>
      </c>
    </row>
    <row r="41" spans="2:10" x14ac:dyDescent="0.25">
      <c r="B41" s="48">
        <v>298</v>
      </c>
      <c r="C41" s="51">
        <v>879356374.92999995</v>
      </c>
      <c r="D41" s="51">
        <v>469795102.38</v>
      </c>
      <c r="E41" s="52">
        <f t="shared" si="14"/>
        <v>1.8717870205013778</v>
      </c>
      <c r="F41" s="51">
        <v>17411291.5</v>
      </c>
      <c r="G41" s="51">
        <v>9301961.8699999992</v>
      </c>
      <c r="H41" s="55">
        <f t="shared" si="15"/>
        <v>-17411291.5</v>
      </c>
      <c r="I41" s="55">
        <f t="shared" si="16"/>
        <v>-9301961.8699999992</v>
      </c>
      <c r="J41" s="52">
        <f t="shared" si="13"/>
        <v>1.8717870212039476</v>
      </c>
    </row>
    <row r="42" spans="2:10" x14ac:dyDescent="0.25">
      <c r="B42" s="48">
        <v>308</v>
      </c>
      <c r="C42" s="51">
        <v>902674122.60000002</v>
      </c>
      <c r="D42" s="51">
        <v>469795102.38</v>
      </c>
      <c r="E42" s="52">
        <f t="shared" si="14"/>
        <v>1.9214208875891177</v>
      </c>
      <c r="F42" s="51">
        <v>17872983.84</v>
      </c>
      <c r="G42" s="51">
        <v>9301961.8699999992</v>
      </c>
      <c r="H42" s="55">
        <f t="shared" si="15"/>
        <v>-17872983.84</v>
      </c>
      <c r="I42" s="55">
        <f t="shared" si="16"/>
        <v>-9301961.8699999992</v>
      </c>
      <c r="J42" s="52">
        <f t="shared" si="13"/>
        <v>1.9214208883872796</v>
      </c>
    </row>
    <row r="43" spans="2:10" x14ac:dyDescent="0.25">
      <c r="B43" s="48">
        <v>318</v>
      </c>
      <c r="C43" s="51">
        <v>925991870.26999998</v>
      </c>
      <c r="D43" s="51">
        <v>469795102.38</v>
      </c>
      <c r="E43" s="52">
        <f t="shared" si="14"/>
        <v>1.9710547546768573</v>
      </c>
      <c r="F43" s="51">
        <v>18334676.18</v>
      </c>
      <c r="G43" s="51">
        <v>9301961.8699999992</v>
      </c>
      <c r="H43" s="55">
        <f t="shared" si="15"/>
        <v>-18334676.18</v>
      </c>
      <c r="I43" s="55">
        <f t="shared" si="16"/>
        <v>-9301961.8699999992</v>
      </c>
      <c r="J43" s="52">
        <f t="shared" si="13"/>
        <v>1.9710547555706119</v>
      </c>
    </row>
    <row r="44" spans="2:10" x14ac:dyDescent="0.25">
      <c r="B44" s="48">
        <v>328</v>
      </c>
      <c r="C44" s="51">
        <v>949309617.94000006</v>
      </c>
      <c r="D44" s="51">
        <v>469795102.38</v>
      </c>
      <c r="E44" s="52">
        <f t="shared" si="14"/>
        <v>2.0206886217645974</v>
      </c>
      <c r="F44" s="51">
        <v>18796368.52</v>
      </c>
      <c r="G44" s="51">
        <v>9301961.8699999992</v>
      </c>
      <c r="H44" s="55">
        <f t="shared" si="15"/>
        <v>-18796368.52</v>
      </c>
      <c r="I44" s="55">
        <f t="shared" si="16"/>
        <v>-9301961.8699999992</v>
      </c>
      <c r="J44" s="52">
        <f t="shared" si="13"/>
        <v>2.0206886227539438</v>
      </c>
    </row>
    <row r="45" spans="2:10" x14ac:dyDescent="0.25">
      <c r="B45" s="48">
        <v>338</v>
      </c>
      <c r="C45" s="51">
        <v>972627365.61000001</v>
      </c>
      <c r="D45" s="51">
        <v>469795102.38</v>
      </c>
      <c r="E45" s="52">
        <f t="shared" si="14"/>
        <v>2.0703224888523368</v>
      </c>
      <c r="F45" s="51">
        <v>19258060.850000001</v>
      </c>
      <c r="G45" s="51">
        <v>9301961.8699999992</v>
      </c>
      <c r="H45" s="55">
        <f t="shared" si="15"/>
        <v>-19258060.850000001</v>
      </c>
      <c r="I45" s="55">
        <f t="shared" si="16"/>
        <v>-9301961.8699999992</v>
      </c>
      <c r="J45" s="52">
        <f t="shared" si="13"/>
        <v>2.0703224888622342</v>
      </c>
    </row>
    <row r="46" spans="2:10" x14ac:dyDescent="0.25">
      <c r="B46" s="48">
        <v>348</v>
      </c>
      <c r="C46" s="51">
        <v>995945113.27999997</v>
      </c>
      <c r="D46" s="51">
        <v>469795102.38</v>
      </c>
      <c r="E46" s="52">
        <f t="shared" si="14"/>
        <v>2.1199563559400767</v>
      </c>
      <c r="F46" s="51">
        <v>19719753.190000001</v>
      </c>
      <c r="G46" s="51">
        <v>9301961.8699999992</v>
      </c>
      <c r="H46" s="55">
        <f t="shared" si="15"/>
        <v>-19719753.190000001</v>
      </c>
      <c r="I46" s="55">
        <f t="shared" si="16"/>
        <v>-9301961.8699999992</v>
      </c>
      <c r="J46" s="52">
        <f t="shared" si="13"/>
        <v>2.1199563560455665</v>
      </c>
    </row>
    <row r="47" spans="2:10" x14ac:dyDescent="0.25">
      <c r="B47" s="48">
        <v>358</v>
      </c>
      <c r="C47" s="51">
        <v>1019262860.95</v>
      </c>
      <c r="D47" s="51">
        <v>469795102.38</v>
      </c>
      <c r="E47" s="52">
        <f t="shared" si="14"/>
        <v>2.1695902230278166</v>
      </c>
      <c r="F47" s="51">
        <v>20181445.530000001</v>
      </c>
      <c r="G47" s="51">
        <v>9301961.8699999992</v>
      </c>
      <c r="H47" s="55">
        <f t="shared" si="15"/>
        <v>-20181445.530000001</v>
      </c>
      <c r="I47" s="55">
        <f t="shared" si="16"/>
        <v>-9301961.8699999992</v>
      </c>
      <c r="J47" s="52">
        <f t="shared" si="13"/>
        <v>2.1695902232288984</v>
      </c>
    </row>
    <row r="48" spans="2:10" x14ac:dyDescent="0.25">
      <c r="B48" s="48">
        <v>368</v>
      </c>
      <c r="C48" s="51">
        <v>1042580608.62</v>
      </c>
      <c r="D48" s="51">
        <v>469795102.38</v>
      </c>
      <c r="E48" s="52">
        <f t="shared" si="14"/>
        <v>2.219224090115556</v>
      </c>
      <c r="F48" s="51">
        <v>20643137.870000001</v>
      </c>
      <c r="G48" s="51">
        <v>9301961.8699999992</v>
      </c>
      <c r="H48" s="55">
        <f t="shared" si="15"/>
        <v>-20643137.870000001</v>
      </c>
      <c r="I48" s="55">
        <f t="shared" si="16"/>
        <v>-9301961.8699999992</v>
      </c>
      <c r="J48" s="52">
        <f t="shared" si="13"/>
        <v>2.2192240904122307</v>
      </c>
    </row>
    <row r="49" spans="2:10" x14ac:dyDescent="0.25">
      <c r="B49" s="48">
        <v>378</v>
      </c>
      <c r="C49" s="51">
        <v>1065898356.29</v>
      </c>
      <c r="D49" s="51">
        <v>469795102.38</v>
      </c>
      <c r="E49" s="52">
        <f t="shared" si="14"/>
        <v>2.2688579572032959</v>
      </c>
      <c r="F49" s="51">
        <v>21104830.210000001</v>
      </c>
      <c r="G49" s="51">
        <v>9301961.8699999992</v>
      </c>
      <c r="H49" s="55">
        <f t="shared" si="15"/>
        <v>-21104830.210000001</v>
      </c>
      <c r="I49" s="55">
        <f t="shared" si="16"/>
        <v>-9301961.8699999992</v>
      </c>
      <c r="J49" s="52">
        <f t="shared" si="13"/>
        <v>2.268857957595563</v>
      </c>
    </row>
    <row r="50" spans="2:10" x14ac:dyDescent="0.25">
      <c r="B50" s="48">
        <v>388</v>
      </c>
      <c r="C50" s="51">
        <v>1089216103.96</v>
      </c>
      <c r="D50" s="51">
        <v>469795102.38</v>
      </c>
      <c r="E50" s="52">
        <f t="shared" si="14"/>
        <v>2.3184918242910357</v>
      </c>
      <c r="F50" s="51">
        <v>21566522.550000001</v>
      </c>
      <c r="G50" s="51">
        <v>9301961.8699999992</v>
      </c>
      <c r="H50" s="55">
        <f t="shared" ref="H50:H59" si="17">-F50</f>
        <v>-21566522.550000001</v>
      </c>
      <c r="I50" s="55">
        <f t="shared" ref="I50:I59" si="18">-G50</f>
        <v>-9301961.8699999992</v>
      </c>
      <c r="J50" s="52">
        <f t="shared" si="13"/>
        <v>2.3184918247788948</v>
      </c>
    </row>
    <row r="51" spans="2:10" x14ac:dyDescent="0.25">
      <c r="B51" s="48">
        <v>398</v>
      </c>
      <c r="C51" s="51">
        <v>1112533851.6300001</v>
      </c>
      <c r="D51" s="51">
        <v>469795102.38</v>
      </c>
      <c r="E51" s="52">
        <f t="shared" si="14"/>
        <v>2.3681256913787756</v>
      </c>
      <c r="F51" s="51">
        <v>22028214.890000001</v>
      </c>
      <c r="G51" s="51">
        <v>9301961.8699999992</v>
      </c>
      <c r="H51" s="55">
        <f t="shared" si="17"/>
        <v>-22028214.890000001</v>
      </c>
      <c r="I51" s="55">
        <f t="shared" si="18"/>
        <v>-9301961.8699999992</v>
      </c>
      <c r="J51" s="52">
        <f t="shared" si="13"/>
        <v>2.3681256919622271</v>
      </c>
    </row>
    <row r="52" spans="2:10" x14ac:dyDescent="0.25">
      <c r="B52" s="48">
        <v>408</v>
      </c>
      <c r="C52" s="51">
        <v>1135851599.3</v>
      </c>
      <c r="D52" s="51">
        <v>469795102.38</v>
      </c>
      <c r="E52" s="52">
        <f t="shared" si="14"/>
        <v>2.417759558466515</v>
      </c>
      <c r="F52" s="51">
        <v>22489907.23</v>
      </c>
      <c r="G52" s="51">
        <v>9301961.8699999992</v>
      </c>
      <c r="H52" s="55">
        <f t="shared" si="17"/>
        <v>-22489907.23</v>
      </c>
      <c r="I52" s="55">
        <f t="shared" si="18"/>
        <v>-9301961.8699999992</v>
      </c>
      <c r="J52" s="52">
        <f t="shared" si="13"/>
        <v>2.4177595591455594</v>
      </c>
    </row>
    <row r="53" spans="2:10" x14ac:dyDescent="0.25">
      <c r="B53" s="48">
        <v>418</v>
      </c>
      <c r="C53" s="51">
        <v>1159169346.97</v>
      </c>
      <c r="D53" s="51">
        <v>469795102.38</v>
      </c>
      <c r="E53" s="52">
        <f t="shared" si="14"/>
        <v>2.4673934255542549</v>
      </c>
      <c r="F53" s="51">
        <v>22951599.57</v>
      </c>
      <c r="G53" s="51">
        <v>9301961.8699999992</v>
      </c>
      <c r="H53" s="55">
        <f t="shared" si="17"/>
        <v>-22951599.57</v>
      </c>
      <c r="I53" s="55">
        <f t="shared" si="18"/>
        <v>-9301961.8699999992</v>
      </c>
      <c r="J53" s="52">
        <f t="shared" si="13"/>
        <v>2.4673934263288912</v>
      </c>
    </row>
    <row r="54" spans="2:10" x14ac:dyDescent="0.25">
      <c r="B54" s="48">
        <v>428</v>
      </c>
      <c r="C54" s="51">
        <v>1182487094.6400001</v>
      </c>
      <c r="D54" s="51">
        <v>469795102.38</v>
      </c>
      <c r="E54" s="52">
        <f t="shared" si="14"/>
        <v>2.5170272926419948</v>
      </c>
      <c r="F54" s="51">
        <v>23413291.91</v>
      </c>
      <c r="G54" s="51">
        <v>9301961.8699999992</v>
      </c>
      <c r="H54" s="55">
        <f t="shared" si="17"/>
        <v>-23413291.91</v>
      </c>
      <c r="I54" s="55">
        <f t="shared" si="18"/>
        <v>-9301961.8699999992</v>
      </c>
      <c r="J54" s="52">
        <f t="shared" si="13"/>
        <v>2.5170272935122235</v>
      </c>
    </row>
    <row r="55" spans="2:10" x14ac:dyDescent="0.25">
      <c r="B55" s="48">
        <v>438</v>
      </c>
      <c r="C55" s="51">
        <v>1205804842.3099999</v>
      </c>
      <c r="D55" s="51">
        <v>469795102.38</v>
      </c>
      <c r="E55" s="52">
        <f t="shared" si="14"/>
        <v>2.5666611597297342</v>
      </c>
      <c r="F55" s="51">
        <v>23874984.25</v>
      </c>
      <c r="G55" s="51">
        <v>9301961.8699999992</v>
      </c>
      <c r="H55" s="55">
        <f t="shared" si="17"/>
        <v>-23874984.25</v>
      </c>
      <c r="I55" s="55">
        <f t="shared" si="18"/>
        <v>-9301961.8699999992</v>
      </c>
      <c r="J55" s="52">
        <f t="shared" si="13"/>
        <v>2.5666611606955558</v>
      </c>
    </row>
    <row r="56" spans="2:10" x14ac:dyDescent="0.25">
      <c r="B56" s="48">
        <v>448</v>
      </c>
      <c r="C56" s="51">
        <v>1229122589.98</v>
      </c>
      <c r="D56" s="51">
        <v>469795102.38</v>
      </c>
      <c r="E56" s="52">
        <f t="shared" si="14"/>
        <v>2.6162950268174741</v>
      </c>
      <c r="F56" s="51">
        <v>24336676.59</v>
      </c>
      <c r="G56" s="51">
        <v>9301961.8699999992</v>
      </c>
      <c r="H56" s="55">
        <f t="shared" si="17"/>
        <v>-24336676.59</v>
      </c>
      <c r="I56" s="55">
        <f t="shared" si="18"/>
        <v>-9301961.8699999992</v>
      </c>
      <c r="J56" s="52">
        <f t="shared" si="13"/>
        <v>2.6162950278788877</v>
      </c>
    </row>
    <row r="57" spans="2:10" x14ac:dyDescent="0.25">
      <c r="B57" s="48">
        <v>458</v>
      </c>
      <c r="C57" s="51">
        <v>1252440337.6500001</v>
      </c>
      <c r="D57" s="51">
        <v>469795102.38</v>
      </c>
      <c r="E57" s="52">
        <f t="shared" si="14"/>
        <v>2.6659288939052139</v>
      </c>
      <c r="F57" s="51">
        <v>24798368.93</v>
      </c>
      <c r="G57" s="51">
        <v>9301961.8699999992</v>
      </c>
      <c r="H57" s="55">
        <f t="shared" si="17"/>
        <v>-24798368.93</v>
      </c>
      <c r="I57" s="55">
        <f t="shared" si="18"/>
        <v>-9301961.8699999992</v>
      </c>
      <c r="J57" s="52">
        <f t="shared" si="13"/>
        <v>2.66592889506222</v>
      </c>
    </row>
    <row r="58" spans="2:10" x14ac:dyDescent="0.25">
      <c r="B58" s="48">
        <v>468</v>
      </c>
      <c r="C58" s="51">
        <v>1275758085.3199999</v>
      </c>
      <c r="D58" s="51">
        <v>469795102.38</v>
      </c>
      <c r="E58" s="52">
        <f t="shared" si="14"/>
        <v>2.7155627609929534</v>
      </c>
      <c r="F58" s="51">
        <v>25260061.27</v>
      </c>
      <c r="G58" s="51">
        <v>9301961.8699999992</v>
      </c>
      <c r="H58" s="55">
        <f t="shared" si="17"/>
        <v>-25260061.27</v>
      </c>
      <c r="I58" s="55">
        <f t="shared" si="18"/>
        <v>-9301961.8699999992</v>
      </c>
      <c r="J58" s="52">
        <f t="shared" si="13"/>
        <v>2.7155627622455523</v>
      </c>
    </row>
    <row r="59" spans="2:10" x14ac:dyDescent="0.25">
      <c r="B59" s="48">
        <v>478</v>
      </c>
      <c r="C59" s="51">
        <v>1299075832.99</v>
      </c>
      <c r="D59" s="51">
        <v>469795102.38</v>
      </c>
      <c r="E59" s="52">
        <f t="shared" si="14"/>
        <v>2.7651966280806932</v>
      </c>
      <c r="F59" s="51">
        <v>25721753.600000001</v>
      </c>
      <c r="G59" s="51">
        <v>9301961.8699999992</v>
      </c>
      <c r="H59" s="55">
        <f t="shared" si="17"/>
        <v>-25721753.600000001</v>
      </c>
      <c r="I59" s="55">
        <f t="shared" si="18"/>
        <v>-9301961.8699999992</v>
      </c>
      <c r="J59" s="52">
        <f t="shared" si="13"/>
        <v>2.7651966283538423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50CD0-7AF8-5D43-AB4F-98D74F625A8D}">
  <sheetPr>
    <tabColor theme="7" tint="0.79998168889431442"/>
  </sheetPr>
  <dimension ref="A2:D73"/>
  <sheetViews>
    <sheetView workbookViewId="0">
      <selection activeCell="D73" sqref="D73"/>
    </sheetView>
  </sheetViews>
  <sheetFormatPr defaultColWidth="11" defaultRowHeight="15.75" x14ac:dyDescent="0.25"/>
  <cols>
    <col min="1" max="1" width="19.375" customWidth="1"/>
    <col min="2" max="2" width="15" bestFit="1" customWidth="1"/>
    <col min="3" max="3" width="14.375" bestFit="1" customWidth="1"/>
    <col min="4" max="5" width="15.375" bestFit="1" customWidth="1"/>
  </cols>
  <sheetData>
    <row r="2" spans="1:4" x14ac:dyDescent="0.25">
      <c r="A2" t="s">
        <v>118</v>
      </c>
    </row>
    <row r="3" spans="1:4" x14ac:dyDescent="0.25">
      <c r="A3" s="19">
        <v>36977724.245633349</v>
      </c>
      <c r="B3" t="s">
        <v>136</v>
      </c>
    </row>
    <row r="6" spans="1:4" x14ac:dyDescent="0.25">
      <c r="A6" t="s">
        <v>137</v>
      </c>
    </row>
    <row r="7" spans="1:4" x14ac:dyDescent="0.25">
      <c r="A7" t="s">
        <v>73</v>
      </c>
      <c r="B7">
        <v>60</v>
      </c>
    </row>
    <row r="8" spans="1:4" x14ac:dyDescent="0.25">
      <c r="A8" t="s">
        <v>74</v>
      </c>
      <c r="B8" s="21">
        <v>0.04</v>
      </c>
    </row>
    <row r="12" spans="1:4" x14ac:dyDescent="0.25">
      <c r="B12" t="s">
        <v>77</v>
      </c>
      <c r="C12" t="s">
        <v>78</v>
      </c>
      <c r="D12" t="s">
        <v>79</v>
      </c>
    </row>
    <row r="13" spans="1:4" x14ac:dyDescent="0.25">
      <c r="A13" s="22">
        <v>1</v>
      </c>
      <c r="B13" s="10">
        <f t="shared" ref="B13:B72" si="0">-PPMT($B$8,$A13,$B$7,$A$3,0)</f>
        <v>155374.67029162592</v>
      </c>
      <c r="C13" s="10">
        <f t="shared" ref="C13:C72" si="1">-IPMT($B$8,$A13,$B$7,$A$3,0)</f>
        <v>1479108.9698253339</v>
      </c>
      <c r="D13" s="10">
        <f>B13+C13</f>
        <v>1634483.6401169598</v>
      </c>
    </row>
    <row r="14" spans="1:4" x14ac:dyDescent="0.25">
      <c r="A14" s="22">
        <v>2</v>
      </c>
      <c r="B14" s="10">
        <f t="shared" si="0"/>
        <v>161589.65710329093</v>
      </c>
      <c r="C14" s="10">
        <f t="shared" si="1"/>
        <v>1472893.983013669</v>
      </c>
      <c r="D14" s="10">
        <f t="shared" ref="D14:D72" si="2">B14+C14</f>
        <v>1634483.64011696</v>
      </c>
    </row>
    <row r="15" spans="1:4" x14ac:dyDescent="0.25">
      <c r="A15" s="22">
        <v>3</v>
      </c>
      <c r="B15" s="10">
        <f t="shared" si="0"/>
        <v>168053.24338742252</v>
      </c>
      <c r="C15" s="10">
        <f t="shared" si="1"/>
        <v>1466430.3967295373</v>
      </c>
      <c r="D15" s="10">
        <f t="shared" si="2"/>
        <v>1634483.6401169598</v>
      </c>
    </row>
    <row r="16" spans="1:4" x14ac:dyDescent="0.25">
      <c r="A16" s="22">
        <v>4</v>
      </c>
      <c r="B16" s="10">
        <f t="shared" si="0"/>
        <v>174775.37312291947</v>
      </c>
      <c r="C16" s="10">
        <f t="shared" si="1"/>
        <v>1459708.2669940402</v>
      </c>
      <c r="D16" s="10">
        <f t="shared" si="2"/>
        <v>1634483.6401169598</v>
      </c>
    </row>
    <row r="17" spans="1:4" x14ac:dyDescent="0.25">
      <c r="A17" s="22">
        <v>5</v>
      </c>
      <c r="B17" s="10">
        <f t="shared" si="0"/>
        <v>181766.38804783623</v>
      </c>
      <c r="C17" s="10">
        <f t="shared" si="1"/>
        <v>1452717.2520691233</v>
      </c>
      <c r="D17" s="10">
        <f t="shared" si="2"/>
        <v>1634483.6401169596</v>
      </c>
    </row>
    <row r="18" spans="1:4" x14ac:dyDescent="0.25">
      <c r="A18" s="22">
        <v>6</v>
      </c>
      <c r="B18" s="10">
        <f t="shared" si="0"/>
        <v>189037.04356974963</v>
      </c>
      <c r="C18" s="10">
        <f t="shared" si="1"/>
        <v>1445446.5965472104</v>
      </c>
      <c r="D18" s="10">
        <f t="shared" si="2"/>
        <v>1634483.64011696</v>
      </c>
    </row>
    <row r="19" spans="1:4" x14ac:dyDescent="0.25">
      <c r="A19" s="22">
        <v>7</v>
      </c>
      <c r="B19" s="10">
        <f t="shared" si="0"/>
        <v>196598.52531253968</v>
      </c>
      <c r="C19" s="10">
        <f t="shared" si="1"/>
        <v>1437885.1148044202</v>
      </c>
      <c r="D19" s="10">
        <f t="shared" si="2"/>
        <v>1634483.6401169598</v>
      </c>
    </row>
    <row r="20" spans="1:4" x14ac:dyDescent="0.25">
      <c r="A20" s="22">
        <v>8</v>
      </c>
      <c r="B20" s="10">
        <f t="shared" si="0"/>
        <v>204462.46632504126</v>
      </c>
      <c r="C20" s="10">
        <f t="shared" si="1"/>
        <v>1430021.1737919187</v>
      </c>
      <c r="D20" s="10">
        <f t="shared" si="2"/>
        <v>1634483.6401169598</v>
      </c>
    </row>
    <row r="21" spans="1:4" x14ac:dyDescent="0.25">
      <c r="A21" s="22">
        <v>9</v>
      </c>
      <c r="B21" s="10">
        <f t="shared" si="0"/>
        <v>212640.96497804284</v>
      </c>
      <c r="C21" s="10">
        <f t="shared" si="1"/>
        <v>1421842.6751389171</v>
      </c>
      <c r="D21" s="10">
        <f t="shared" si="2"/>
        <v>1634483.6401169598</v>
      </c>
    </row>
    <row r="22" spans="1:4" x14ac:dyDescent="0.25">
      <c r="A22" s="22">
        <v>10</v>
      </c>
      <c r="B22" s="10">
        <f t="shared" si="0"/>
        <v>221146.60357716461</v>
      </c>
      <c r="C22" s="10">
        <f t="shared" si="1"/>
        <v>1413337.0365397953</v>
      </c>
      <c r="D22" s="10">
        <f t="shared" si="2"/>
        <v>1634483.64011696</v>
      </c>
    </row>
    <row r="23" spans="1:4" x14ac:dyDescent="0.25">
      <c r="A23" s="22">
        <v>11</v>
      </c>
      <c r="B23" s="10">
        <f t="shared" si="0"/>
        <v>229992.46772025115</v>
      </c>
      <c r="C23" s="10">
        <f t="shared" si="1"/>
        <v>1404491.1723967087</v>
      </c>
      <c r="D23" s="10">
        <f t="shared" si="2"/>
        <v>1634483.6401169598</v>
      </c>
    </row>
    <row r="24" spans="1:4" x14ac:dyDescent="0.25">
      <c r="A24" s="22">
        <v>12</v>
      </c>
      <c r="B24" s="10">
        <f t="shared" si="0"/>
        <v>239192.16642906127</v>
      </c>
      <c r="C24" s="10">
        <f t="shared" si="1"/>
        <v>1395291.4736878986</v>
      </c>
      <c r="D24" s="10">
        <f t="shared" si="2"/>
        <v>1634483.6401169598</v>
      </c>
    </row>
    <row r="25" spans="1:4" x14ac:dyDescent="0.25">
      <c r="A25" s="22">
        <v>13</v>
      </c>
      <c r="B25" s="10">
        <f t="shared" si="0"/>
        <v>248759.85308622368</v>
      </c>
      <c r="C25" s="10">
        <f t="shared" si="1"/>
        <v>1385723.7870307362</v>
      </c>
      <c r="D25" s="10">
        <f t="shared" si="2"/>
        <v>1634483.6401169598</v>
      </c>
    </row>
    <row r="26" spans="1:4" x14ac:dyDescent="0.25">
      <c r="A26" s="22">
        <v>14</v>
      </c>
      <c r="B26" s="10">
        <f t="shared" si="0"/>
        <v>258710.24720967267</v>
      </c>
      <c r="C26" s="10">
        <f t="shared" si="1"/>
        <v>1375773.3929072872</v>
      </c>
      <c r="D26" s="10">
        <f t="shared" si="2"/>
        <v>1634483.6401169598</v>
      </c>
    </row>
    <row r="27" spans="1:4" x14ac:dyDescent="0.25">
      <c r="A27" s="22">
        <v>15</v>
      </c>
      <c r="B27" s="10">
        <f t="shared" si="0"/>
        <v>269058.6570980596</v>
      </c>
      <c r="C27" s="10">
        <f t="shared" si="1"/>
        <v>1365424.9830189003</v>
      </c>
      <c r="D27" s="10">
        <f t="shared" si="2"/>
        <v>1634483.6401169598</v>
      </c>
    </row>
    <row r="28" spans="1:4" x14ac:dyDescent="0.25">
      <c r="A28" s="22">
        <v>16</v>
      </c>
      <c r="B28" s="10">
        <f t="shared" si="0"/>
        <v>279821.00338198192</v>
      </c>
      <c r="C28" s="10">
        <f t="shared" si="1"/>
        <v>1354662.6367349781</v>
      </c>
      <c r="D28" s="10">
        <f t="shared" si="2"/>
        <v>1634483.64011696</v>
      </c>
    </row>
    <row r="29" spans="1:4" x14ac:dyDescent="0.25">
      <c r="A29" s="22">
        <v>17</v>
      </c>
      <c r="B29" s="10">
        <f t="shared" si="0"/>
        <v>291013.84351726121</v>
      </c>
      <c r="C29" s="10">
        <f t="shared" si="1"/>
        <v>1343469.7965996987</v>
      </c>
      <c r="D29" s="10">
        <f t="shared" si="2"/>
        <v>1634483.6401169598</v>
      </c>
    </row>
    <row r="30" spans="1:4" x14ac:dyDescent="0.25">
      <c r="A30" s="22">
        <v>18</v>
      </c>
      <c r="B30" s="10">
        <f t="shared" si="0"/>
        <v>302654.39725795167</v>
      </c>
      <c r="C30" s="10">
        <f t="shared" si="1"/>
        <v>1331829.2428590083</v>
      </c>
      <c r="D30" s="10">
        <f t="shared" si="2"/>
        <v>1634483.6401169598</v>
      </c>
    </row>
    <row r="31" spans="1:4" x14ac:dyDescent="0.25">
      <c r="A31" s="22">
        <v>19</v>
      </c>
      <c r="B31" s="10">
        <f t="shared" si="0"/>
        <v>314760.57314826967</v>
      </c>
      <c r="C31" s="10">
        <f t="shared" si="1"/>
        <v>1319723.0669686901</v>
      </c>
      <c r="D31" s="10">
        <f t="shared" si="2"/>
        <v>1634483.6401169598</v>
      </c>
    </row>
    <row r="32" spans="1:4" x14ac:dyDescent="0.25">
      <c r="A32" s="22">
        <v>20</v>
      </c>
      <c r="B32" s="10">
        <f t="shared" si="0"/>
        <v>327350.99607420049</v>
      </c>
      <c r="C32" s="10">
        <f t="shared" si="1"/>
        <v>1307132.6440427592</v>
      </c>
      <c r="D32" s="10">
        <f t="shared" si="2"/>
        <v>1634483.6401169598</v>
      </c>
    </row>
    <row r="33" spans="1:4" x14ac:dyDescent="0.25">
      <c r="A33" s="22">
        <v>21</v>
      </c>
      <c r="B33" s="10">
        <f t="shared" si="0"/>
        <v>340445.03591716854</v>
      </c>
      <c r="C33" s="10">
        <f t="shared" si="1"/>
        <v>1294038.6041997913</v>
      </c>
      <c r="D33" s="10">
        <f t="shared" si="2"/>
        <v>1634483.6401169598</v>
      </c>
    </row>
    <row r="34" spans="1:4" x14ac:dyDescent="0.25">
      <c r="A34" s="22">
        <v>22</v>
      </c>
      <c r="B34" s="10">
        <f t="shared" si="0"/>
        <v>354062.83735385531</v>
      </c>
      <c r="C34" s="10">
        <f t="shared" si="1"/>
        <v>1280420.8027631044</v>
      </c>
      <c r="D34" s="10">
        <f t="shared" si="2"/>
        <v>1634483.6401169598</v>
      </c>
    </row>
    <row r="35" spans="1:4" x14ac:dyDescent="0.25">
      <c r="A35" s="22">
        <v>23</v>
      </c>
      <c r="B35" s="10">
        <f t="shared" si="0"/>
        <v>368225.35084800952</v>
      </c>
      <c r="C35" s="10">
        <f t="shared" si="1"/>
        <v>1266258.2892689505</v>
      </c>
      <c r="D35" s="10">
        <f t="shared" si="2"/>
        <v>1634483.64011696</v>
      </c>
    </row>
    <row r="36" spans="1:4" x14ac:dyDescent="0.25">
      <c r="A36" s="22">
        <v>24</v>
      </c>
      <c r="B36" s="10">
        <f t="shared" si="0"/>
        <v>382954.36488192983</v>
      </c>
      <c r="C36" s="10">
        <f t="shared" si="1"/>
        <v>1251529.2752350301</v>
      </c>
      <c r="D36" s="10">
        <f t="shared" si="2"/>
        <v>1634483.6401169598</v>
      </c>
    </row>
    <row r="37" spans="1:4" x14ac:dyDescent="0.25">
      <c r="A37" s="22">
        <v>25</v>
      </c>
      <c r="B37" s="10">
        <f t="shared" si="0"/>
        <v>398272.53947720706</v>
      </c>
      <c r="C37" s="10">
        <f t="shared" si="1"/>
        <v>1236211.1006397528</v>
      </c>
      <c r="D37" s="10">
        <f t="shared" si="2"/>
        <v>1634483.6401169598</v>
      </c>
    </row>
    <row r="38" spans="1:4" x14ac:dyDescent="0.25">
      <c r="A38" s="22">
        <v>26</v>
      </c>
      <c r="B38" s="10">
        <f t="shared" si="0"/>
        <v>414203.44105629536</v>
      </c>
      <c r="C38" s="10">
        <f t="shared" si="1"/>
        <v>1220280.1990606647</v>
      </c>
      <c r="D38" s="10">
        <f t="shared" si="2"/>
        <v>1634483.64011696</v>
      </c>
    </row>
    <row r="39" spans="1:4" x14ac:dyDescent="0.25">
      <c r="A39" s="22">
        <v>27</v>
      </c>
      <c r="B39" s="10">
        <f t="shared" si="0"/>
        <v>430771.57869854709</v>
      </c>
      <c r="C39" s="10">
        <f t="shared" si="1"/>
        <v>1203712.0614184127</v>
      </c>
      <c r="D39" s="10">
        <f t="shared" si="2"/>
        <v>1634483.6401169598</v>
      </c>
    </row>
    <row r="40" spans="1:4" x14ac:dyDescent="0.25">
      <c r="A40" s="22">
        <v>28</v>
      </c>
      <c r="B40" s="10">
        <f t="shared" si="0"/>
        <v>448002.44184648897</v>
      </c>
      <c r="C40" s="10">
        <f t="shared" si="1"/>
        <v>1186481.1982704708</v>
      </c>
      <c r="D40" s="10">
        <f t="shared" si="2"/>
        <v>1634483.6401169598</v>
      </c>
    </row>
    <row r="41" spans="1:4" x14ac:dyDescent="0.25">
      <c r="A41" s="22">
        <v>29</v>
      </c>
      <c r="B41" s="10">
        <f t="shared" si="0"/>
        <v>465922.5395203486</v>
      </c>
      <c r="C41" s="10">
        <f t="shared" si="1"/>
        <v>1168561.1005966112</v>
      </c>
      <c r="D41" s="10">
        <f t="shared" si="2"/>
        <v>1634483.6401169598</v>
      </c>
    </row>
    <row r="42" spans="1:4" x14ac:dyDescent="0.25">
      <c r="A42" s="22">
        <v>30</v>
      </c>
      <c r="B42" s="10">
        <f t="shared" si="0"/>
        <v>484559.44110116258</v>
      </c>
      <c r="C42" s="10">
        <f t="shared" si="1"/>
        <v>1149924.1990157973</v>
      </c>
      <c r="D42" s="10">
        <f t="shared" si="2"/>
        <v>1634483.6401169598</v>
      </c>
    </row>
    <row r="43" spans="1:4" x14ac:dyDescent="0.25">
      <c r="A43" s="22">
        <v>31</v>
      </c>
      <c r="B43" s="10">
        <f t="shared" si="0"/>
        <v>503941.81874520914</v>
      </c>
      <c r="C43" s="10">
        <f t="shared" si="1"/>
        <v>1130541.8213717507</v>
      </c>
      <c r="D43" s="10">
        <f t="shared" si="2"/>
        <v>1634483.6401169598</v>
      </c>
    </row>
    <row r="44" spans="1:4" x14ac:dyDescent="0.25">
      <c r="A44" s="22">
        <v>32</v>
      </c>
      <c r="B44" s="10">
        <f t="shared" si="0"/>
        <v>524099.49149501737</v>
      </c>
      <c r="C44" s="10">
        <f t="shared" si="1"/>
        <v>1110384.1486219424</v>
      </c>
      <c r="D44" s="10">
        <f t="shared" si="2"/>
        <v>1634483.6401169598</v>
      </c>
    </row>
    <row r="45" spans="1:4" x14ac:dyDescent="0.25">
      <c r="A45" s="22">
        <v>33</v>
      </c>
      <c r="B45" s="10">
        <f t="shared" si="0"/>
        <v>545063.47115481808</v>
      </c>
      <c r="C45" s="10">
        <f t="shared" si="1"/>
        <v>1089420.1689621417</v>
      </c>
      <c r="D45" s="10">
        <f t="shared" si="2"/>
        <v>1634483.6401169598</v>
      </c>
    </row>
    <row r="46" spans="1:4" x14ac:dyDescent="0.25">
      <c r="A46" s="22">
        <v>34</v>
      </c>
      <c r="B46" s="10">
        <f t="shared" si="0"/>
        <v>566866.01000101084</v>
      </c>
      <c r="C46" s="10">
        <f t="shared" si="1"/>
        <v>1067617.6301159489</v>
      </c>
      <c r="D46" s="10">
        <f t="shared" si="2"/>
        <v>1634483.6401169598</v>
      </c>
    </row>
    <row r="47" spans="1:4" x14ac:dyDescent="0.25">
      <c r="A47" s="22">
        <v>35</v>
      </c>
      <c r="B47" s="10">
        <f t="shared" si="0"/>
        <v>589540.65040105116</v>
      </c>
      <c r="C47" s="10">
        <f t="shared" si="1"/>
        <v>1044942.9897159085</v>
      </c>
      <c r="D47" s="10">
        <f t="shared" si="2"/>
        <v>1634483.6401169598</v>
      </c>
    </row>
    <row r="48" spans="1:4" x14ac:dyDescent="0.25">
      <c r="A48" s="22">
        <v>36</v>
      </c>
      <c r="B48" s="10">
        <f t="shared" si="0"/>
        <v>613122.27641709324</v>
      </c>
      <c r="C48" s="10">
        <f t="shared" si="1"/>
        <v>1021361.3636998667</v>
      </c>
      <c r="D48" s="10">
        <f t="shared" si="2"/>
        <v>1634483.6401169598</v>
      </c>
    </row>
    <row r="49" spans="1:4" x14ac:dyDescent="0.25">
      <c r="A49" s="22">
        <v>37</v>
      </c>
      <c r="B49" s="10">
        <f t="shared" si="0"/>
        <v>637647.16747377708</v>
      </c>
      <c r="C49" s="10">
        <f t="shared" si="1"/>
        <v>996836.47264318261</v>
      </c>
      <c r="D49" s="10">
        <f t="shared" si="2"/>
        <v>1634483.6401169598</v>
      </c>
    </row>
    <row r="50" spans="1:4" x14ac:dyDescent="0.25">
      <c r="A50" s="22">
        <v>38</v>
      </c>
      <c r="B50" s="10">
        <f t="shared" si="0"/>
        <v>663153.05417272809</v>
      </c>
      <c r="C50" s="10">
        <f t="shared" si="1"/>
        <v>971330.5859442316</v>
      </c>
      <c r="D50" s="10">
        <f t="shared" si="2"/>
        <v>1634483.6401169598</v>
      </c>
    </row>
    <row r="51" spans="1:4" x14ac:dyDescent="0.25">
      <c r="A51" s="22">
        <v>39</v>
      </c>
      <c r="B51" s="10">
        <f t="shared" si="0"/>
        <v>689679.17633963726</v>
      </c>
      <c r="C51" s="10">
        <f t="shared" si="1"/>
        <v>944804.46377732244</v>
      </c>
      <c r="D51" s="10">
        <f t="shared" si="2"/>
        <v>1634483.6401169598</v>
      </c>
    </row>
    <row r="52" spans="1:4" x14ac:dyDescent="0.25">
      <c r="A52" s="22">
        <v>40</v>
      </c>
      <c r="B52" s="10">
        <f t="shared" si="0"/>
        <v>717266.34339322266</v>
      </c>
      <c r="C52" s="10">
        <f t="shared" si="1"/>
        <v>917217.29672373715</v>
      </c>
      <c r="D52" s="10">
        <f t="shared" si="2"/>
        <v>1634483.6401169598</v>
      </c>
    </row>
    <row r="53" spans="1:4" x14ac:dyDescent="0.25">
      <c r="A53" s="22">
        <v>41</v>
      </c>
      <c r="B53" s="10">
        <f t="shared" si="0"/>
        <v>745956.99712895171</v>
      </c>
      <c r="C53" s="10">
        <f t="shared" si="1"/>
        <v>888526.6429880081</v>
      </c>
      <c r="D53" s="10">
        <f t="shared" si="2"/>
        <v>1634483.6401169598</v>
      </c>
    </row>
    <row r="54" spans="1:4" x14ac:dyDescent="0.25">
      <c r="A54" s="22">
        <v>42</v>
      </c>
      <c r="B54" s="10">
        <f t="shared" si="0"/>
        <v>775795.27701410977</v>
      </c>
      <c r="C54" s="10">
        <f t="shared" si="1"/>
        <v>858688.36310285004</v>
      </c>
      <c r="D54" s="10">
        <f t="shared" si="2"/>
        <v>1634483.6401169598</v>
      </c>
    </row>
    <row r="55" spans="1:4" x14ac:dyDescent="0.25">
      <c r="A55" s="22">
        <v>43</v>
      </c>
      <c r="B55" s="10">
        <f t="shared" si="0"/>
        <v>806827.08809467405</v>
      </c>
      <c r="C55" s="10">
        <f t="shared" si="1"/>
        <v>827656.55202228576</v>
      </c>
      <c r="D55" s="10">
        <f t="shared" si="2"/>
        <v>1634483.6401169598</v>
      </c>
    </row>
    <row r="56" spans="1:4" x14ac:dyDescent="0.25">
      <c r="A56" s="22">
        <v>44</v>
      </c>
      <c r="B56" s="10">
        <f t="shared" si="0"/>
        <v>839100.17161846091</v>
      </c>
      <c r="C56" s="10">
        <f t="shared" si="1"/>
        <v>795383.46849849867</v>
      </c>
      <c r="D56" s="10">
        <f t="shared" si="2"/>
        <v>1634483.6401169596</v>
      </c>
    </row>
    <row r="57" spans="1:4" x14ac:dyDescent="0.25">
      <c r="A57" s="22">
        <v>45</v>
      </c>
      <c r="B57" s="10">
        <f>-PPMT($B$8,$A57,$B$7,$A$3,0)</f>
        <v>872664.17848319944</v>
      </c>
      <c r="C57" s="10">
        <f t="shared" si="1"/>
        <v>761819.46163376037</v>
      </c>
      <c r="D57" s="10">
        <f t="shared" si="2"/>
        <v>1634483.6401169598</v>
      </c>
    </row>
    <row r="58" spans="1:4" x14ac:dyDescent="0.25">
      <c r="A58" s="22">
        <v>46</v>
      </c>
      <c r="B58" s="10">
        <f t="shared" si="0"/>
        <v>907570.74562252767</v>
      </c>
      <c r="C58" s="10">
        <f t="shared" si="1"/>
        <v>726912.89449443237</v>
      </c>
      <c r="D58" s="10">
        <f t="shared" si="2"/>
        <v>1634483.64011696</v>
      </c>
    </row>
    <row r="59" spans="1:4" x14ac:dyDescent="0.25">
      <c r="A59" s="22">
        <v>47</v>
      </c>
      <c r="B59" s="10">
        <f t="shared" si="0"/>
        <v>943873.57544742851</v>
      </c>
      <c r="C59" s="10">
        <f t="shared" si="1"/>
        <v>690610.0646695313</v>
      </c>
      <c r="D59" s="10">
        <f t="shared" si="2"/>
        <v>1634483.6401169598</v>
      </c>
    </row>
    <row r="60" spans="1:4" x14ac:dyDescent="0.25">
      <c r="A60" s="22">
        <v>48</v>
      </c>
      <c r="B60" s="10">
        <f t="shared" si="0"/>
        <v>981628.51846532559</v>
      </c>
      <c r="C60" s="10">
        <f t="shared" si="1"/>
        <v>652855.12165163422</v>
      </c>
      <c r="D60" s="10">
        <f t="shared" si="2"/>
        <v>1634483.6401169598</v>
      </c>
    </row>
    <row r="61" spans="1:4" x14ac:dyDescent="0.25">
      <c r="A61" s="22">
        <v>49</v>
      </c>
      <c r="B61" s="10">
        <f>-PPMT($B$8,$A61,$B$7,$A$3,0)</f>
        <v>1020893.6592039389</v>
      </c>
      <c r="C61" s="10">
        <f t="shared" si="1"/>
        <v>613589.98091302114</v>
      </c>
      <c r="D61" s="10">
        <f t="shared" si="2"/>
        <v>1634483.64011696</v>
      </c>
    </row>
    <row r="62" spans="1:4" x14ac:dyDescent="0.25">
      <c r="A62" s="22">
        <v>50</v>
      </c>
      <c r="B62" s="10">
        <f t="shared" si="0"/>
        <v>1061729.4055720964</v>
      </c>
      <c r="C62" s="10">
        <f t="shared" si="1"/>
        <v>572754.23454486358</v>
      </c>
      <c r="D62" s="10">
        <f t="shared" si="2"/>
        <v>1634483.6401169598</v>
      </c>
    </row>
    <row r="63" spans="1:4" x14ac:dyDescent="0.25">
      <c r="A63" s="22">
        <v>51</v>
      </c>
      <c r="B63" s="10">
        <f t="shared" si="0"/>
        <v>1104198.58179498</v>
      </c>
      <c r="C63" s="10">
        <f t="shared" si="1"/>
        <v>530285.0583219796</v>
      </c>
      <c r="D63" s="10">
        <f t="shared" si="2"/>
        <v>1634483.6401169596</v>
      </c>
    </row>
    <row r="64" spans="1:4" x14ac:dyDescent="0.25">
      <c r="A64" s="22">
        <v>52</v>
      </c>
      <c r="B64" s="10">
        <f t="shared" si="0"/>
        <v>1148366.5250667792</v>
      </c>
      <c r="C64" s="10">
        <f t="shared" si="1"/>
        <v>486117.11505018047</v>
      </c>
      <c r="D64" s="10">
        <f t="shared" si="2"/>
        <v>1634483.6401169598</v>
      </c>
    </row>
    <row r="65" spans="1:4" x14ac:dyDescent="0.25">
      <c r="A65" s="22">
        <v>53</v>
      </c>
      <c r="B65" s="10">
        <f t="shared" si="0"/>
        <v>1194301.1860694503</v>
      </c>
      <c r="C65" s="10">
        <f t="shared" si="1"/>
        <v>440182.45404750929</v>
      </c>
      <c r="D65" s="10">
        <f t="shared" si="2"/>
        <v>1634483.6401169596</v>
      </c>
    </row>
    <row r="66" spans="1:4" x14ac:dyDescent="0.25">
      <c r="A66" s="22">
        <v>54</v>
      </c>
      <c r="B66" s="10">
        <f t="shared" si="0"/>
        <v>1242073.2335122286</v>
      </c>
      <c r="C66" s="10">
        <f t="shared" si="1"/>
        <v>392410.40660473134</v>
      </c>
      <c r="D66" s="10">
        <f t="shared" si="2"/>
        <v>1634483.6401169598</v>
      </c>
    </row>
    <row r="67" spans="1:4" x14ac:dyDescent="0.25">
      <c r="A67" s="22">
        <v>55</v>
      </c>
      <c r="B67" s="10">
        <f t="shared" si="0"/>
        <v>1291756.1628527176</v>
      </c>
      <c r="C67" s="10">
        <f t="shared" si="1"/>
        <v>342727.47726424219</v>
      </c>
      <c r="D67" s="10">
        <f t="shared" si="2"/>
        <v>1634483.6401169598</v>
      </c>
    </row>
    <row r="68" spans="1:4" x14ac:dyDescent="0.25">
      <c r="A68" s="22">
        <v>56</v>
      </c>
      <c r="B68" s="10">
        <f t="shared" si="0"/>
        <v>1343426.4093668265</v>
      </c>
      <c r="C68" s="10">
        <f t="shared" si="1"/>
        <v>291057.23075013346</v>
      </c>
      <c r="D68" s="10">
        <f t="shared" si="2"/>
        <v>1634483.64011696</v>
      </c>
    </row>
    <row r="69" spans="1:4" x14ac:dyDescent="0.25">
      <c r="A69" s="22">
        <v>57</v>
      </c>
      <c r="B69" s="10">
        <f t="shared" si="0"/>
        <v>1397163.4657414993</v>
      </c>
      <c r="C69" s="10">
        <f t="shared" si="1"/>
        <v>237320.17437546042</v>
      </c>
      <c r="D69" s="10">
        <f t="shared" si="2"/>
        <v>1634483.6401169598</v>
      </c>
    </row>
    <row r="70" spans="1:4" x14ac:dyDescent="0.25">
      <c r="A70" s="22">
        <v>58</v>
      </c>
      <c r="B70" s="10">
        <f t="shared" si="0"/>
        <v>1453050.0043711595</v>
      </c>
      <c r="C70" s="10">
        <f t="shared" si="1"/>
        <v>181433.63574580045</v>
      </c>
      <c r="D70" s="10">
        <f t="shared" si="2"/>
        <v>1634483.6401169598</v>
      </c>
    </row>
    <row r="71" spans="1:4" x14ac:dyDescent="0.25">
      <c r="A71" s="22">
        <v>59</v>
      </c>
      <c r="B71" s="10">
        <f t="shared" si="0"/>
        <v>1511172.0045460057</v>
      </c>
      <c r="C71" s="10">
        <f t="shared" si="1"/>
        <v>123311.63557095407</v>
      </c>
      <c r="D71" s="10">
        <f t="shared" si="2"/>
        <v>1634483.6401169598</v>
      </c>
    </row>
    <row r="72" spans="1:4" x14ac:dyDescent="0.25">
      <c r="A72" s="22">
        <v>60</v>
      </c>
      <c r="B72" s="10">
        <f t="shared" si="0"/>
        <v>1571618.8847278461</v>
      </c>
      <c r="C72" s="10">
        <f t="shared" si="1"/>
        <v>62864.755389113845</v>
      </c>
      <c r="D72" s="10">
        <f t="shared" si="2"/>
        <v>1634483.64011696</v>
      </c>
    </row>
    <row r="73" spans="1:4" x14ac:dyDescent="0.25">
      <c r="D73" s="10">
        <f>SUM(D13:D72)</f>
        <v>98069018.407017589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Assumption</vt:lpstr>
      <vt:lpstr>Traditional Const Costs</vt:lpstr>
      <vt:lpstr>Trad Debt Service</vt:lpstr>
      <vt:lpstr>Utility Trenching Costs</vt:lpstr>
      <vt:lpstr>DOT Resurfacings</vt:lpstr>
      <vt:lpstr>Util Const Costs + DS </vt:lpstr>
      <vt:lpstr>Traditional vs Utilidor</vt:lpstr>
      <vt:lpstr>Sensitivity</vt:lpstr>
      <vt:lpstr>Sensitivity OM + DS</vt:lpstr>
      <vt:lpstr>Sensitivity OM + DS result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Autumn Qiu</dc:creator>
  <cp:lastModifiedBy>Matthews, Terri (DDC)</cp:lastModifiedBy>
  <dcterms:created xsi:type="dcterms:W3CDTF">2024-05-30T17:35:02Z</dcterms:created>
  <dcterms:modified xsi:type="dcterms:W3CDTF">2024-11-14T21:43:47Z</dcterms:modified>
</cp:coreProperties>
</file>