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trapanese1\Desktop\"/>
    </mc:Choice>
  </mc:AlternateContent>
  <bookViews>
    <workbookView xWindow="0" yWindow="0" windowWidth="28800" windowHeight="12435" tabRatio="923"/>
  </bookViews>
  <sheets>
    <sheet name="Citywide_MainSort" sheetId="23" r:id="rId1"/>
    <sheet name="Bronx_MainSort" sheetId="22" r:id="rId2"/>
    <sheet name="Brooklyn_MainSort" sheetId="21" r:id="rId3"/>
    <sheet name="Manhattan_MainSort" sheetId="20" r:id="rId4"/>
    <sheet name="Queens_MainSort" sheetId="19" r:id="rId5"/>
    <sheet name="StatenIsland_MainSort" sheetId="18" r:id="rId6"/>
    <sheet name="DV-IDENTITY-0" sheetId="6" state="veryHidden" r:id="rId7"/>
  </sheets>
  <definedNames>
    <definedName name="_xlnm._FilterDatabase" localSheetId="0" hidden="1">#REF!</definedName>
    <definedName name="_xlnm._FilterDatabase" hidden="1">#REF!</definedName>
    <definedName name="_xlnm.Print_Area" localSheetId="0">Citywide_MainSort!$A$2:$B$46</definedName>
    <definedName name="_xlnm.Print_Area">#REF!</definedName>
  </definedNames>
  <calcPr calcId="152511"/>
</workbook>
</file>

<file path=xl/calcChain.xml><?xml version="1.0" encoding="utf-8"?>
<calcChain xmlns="http://schemas.openxmlformats.org/spreadsheetml/2006/main">
  <c r="IV9" i="6" l="1"/>
  <c r="A19" i="6"/>
  <c r="B19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AI19" i="6"/>
  <c r="AJ19" i="6"/>
  <c r="AK19" i="6"/>
  <c r="AL19" i="6"/>
  <c r="AM19" i="6"/>
  <c r="AN19" i="6"/>
  <c r="AO19" i="6"/>
  <c r="AP19" i="6"/>
  <c r="AQ19" i="6"/>
  <c r="AR19" i="6"/>
  <c r="AS19" i="6"/>
  <c r="AT19" i="6"/>
  <c r="AU19" i="6"/>
  <c r="AV19" i="6"/>
  <c r="AW19" i="6"/>
  <c r="AX19" i="6"/>
  <c r="AY19" i="6"/>
  <c r="AZ19" i="6"/>
  <c r="BA19" i="6"/>
  <c r="BB19" i="6"/>
  <c r="BC19" i="6"/>
  <c r="BD19" i="6"/>
  <c r="BE19" i="6"/>
  <c r="BF19" i="6"/>
  <c r="BG19" i="6"/>
  <c r="BH19" i="6"/>
  <c r="BI19" i="6"/>
  <c r="BJ19" i="6"/>
  <c r="BN19" i="6"/>
  <c r="BP19" i="6"/>
  <c r="BR19" i="6"/>
  <c r="BS19" i="6"/>
  <c r="BT19" i="6"/>
  <c r="BU19" i="6"/>
  <c r="BY19" i="6"/>
  <c r="CA19" i="6"/>
  <c r="CC19" i="6"/>
  <c r="CD19" i="6"/>
  <c r="CE19" i="6"/>
  <c r="CF19" i="6"/>
  <c r="CG19" i="6"/>
  <c r="CH19" i="6"/>
  <c r="CP19" i="6"/>
  <c r="CQ19" i="6"/>
  <c r="CR19" i="6"/>
  <c r="A18" i="6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AM18" i="6"/>
  <c r="AN18" i="6"/>
  <c r="AO18" i="6"/>
  <c r="AP18" i="6"/>
  <c r="AQ18" i="6"/>
  <c r="AR18" i="6"/>
  <c r="AS18" i="6"/>
  <c r="AT18" i="6"/>
  <c r="AU18" i="6"/>
  <c r="AV18" i="6"/>
  <c r="AW18" i="6"/>
  <c r="AX18" i="6"/>
  <c r="AY18" i="6"/>
  <c r="AZ18" i="6"/>
  <c r="BA18" i="6"/>
  <c r="BB18" i="6"/>
  <c r="BC18" i="6"/>
  <c r="BD18" i="6"/>
  <c r="BE18" i="6"/>
  <c r="BF18" i="6"/>
  <c r="BG18" i="6"/>
  <c r="BH18" i="6"/>
  <c r="BI18" i="6"/>
  <c r="BJ18" i="6"/>
  <c r="BK18" i="6"/>
  <c r="BL18" i="6"/>
  <c r="BM18" i="6"/>
  <c r="BN18" i="6"/>
  <c r="BO18" i="6"/>
  <c r="BP18" i="6"/>
  <c r="BQ18" i="6"/>
  <c r="BR18" i="6"/>
  <c r="BS18" i="6"/>
  <c r="BT18" i="6"/>
  <c r="BU18" i="6"/>
  <c r="BV18" i="6"/>
  <c r="BW18" i="6"/>
  <c r="BX18" i="6"/>
  <c r="BY18" i="6"/>
  <c r="BZ18" i="6"/>
  <c r="CA18" i="6"/>
  <c r="CB18" i="6"/>
  <c r="CC18" i="6"/>
  <c r="CD18" i="6"/>
  <c r="CE18" i="6"/>
  <c r="CF18" i="6"/>
  <c r="CG18" i="6"/>
  <c r="CH18" i="6"/>
  <c r="CI18" i="6"/>
  <c r="CJ18" i="6"/>
  <c r="CK18" i="6"/>
  <c r="CL18" i="6"/>
  <c r="CM18" i="6"/>
  <c r="CN18" i="6"/>
  <c r="CO18" i="6"/>
  <c r="CP18" i="6"/>
  <c r="CQ18" i="6"/>
  <c r="CR18" i="6"/>
  <c r="CS18" i="6"/>
  <c r="CT18" i="6"/>
  <c r="CU18" i="6"/>
  <c r="CV18" i="6"/>
  <c r="CW18" i="6"/>
  <c r="CX18" i="6"/>
  <c r="CY18" i="6"/>
  <c r="CZ18" i="6"/>
  <c r="DA18" i="6"/>
  <c r="DB18" i="6"/>
  <c r="DC18" i="6"/>
  <c r="DD18" i="6"/>
  <c r="DE18" i="6"/>
  <c r="DF18" i="6"/>
  <c r="DG18" i="6"/>
  <c r="DH18" i="6"/>
  <c r="DI18" i="6"/>
  <c r="DJ18" i="6"/>
  <c r="DK18" i="6"/>
  <c r="DL18" i="6"/>
  <c r="DM18" i="6"/>
  <c r="DN18" i="6"/>
  <c r="DO18" i="6"/>
  <c r="DP18" i="6"/>
  <c r="DQ18" i="6"/>
  <c r="DR18" i="6"/>
  <c r="DS18" i="6"/>
  <c r="DT18" i="6"/>
  <c r="DU18" i="6"/>
  <c r="DV18" i="6"/>
  <c r="DW18" i="6"/>
  <c r="DX18" i="6"/>
  <c r="DY18" i="6"/>
  <c r="DZ18" i="6"/>
  <c r="EA18" i="6"/>
  <c r="EB18" i="6"/>
  <c r="EC18" i="6"/>
  <c r="ED18" i="6"/>
  <c r="EE18" i="6"/>
  <c r="EF18" i="6"/>
  <c r="EG18" i="6"/>
  <c r="EH18" i="6"/>
  <c r="EI18" i="6"/>
  <c r="EJ18" i="6"/>
  <c r="EK18" i="6"/>
  <c r="EL18" i="6"/>
  <c r="EM18" i="6"/>
  <c r="EN18" i="6"/>
  <c r="EO18" i="6"/>
  <c r="EP18" i="6"/>
  <c r="EQ18" i="6"/>
  <c r="ER18" i="6"/>
  <c r="ES18" i="6"/>
  <c r="ET18" i="6"/>
  <c r="EU18" i="6"/>
  <c r="EV18" i="6"/>
  <c r="EW18" i="6"/>
  <c r="EX18" i="6"/>
  <c r="EY18" i="6"/>
  <c r="EZ18" i="6"/>
  <c r="FA18" i="6"/>
  <c r="FB18" i="6"/>
  <c r="FC18" i="6"/>
  <c r="FD18" i="6"/>
  <c r="FE18" i="6"/>
  <c r="FF18" i="6"/>
  <c r="FG18" i="6"/>
  <c r="FH18" i="6"/>
  <c r="FI18" i="6"/>
  <c r="FJ18" i="6"/>
  <c r="FK18" i="6"/>
  <c r="FL18" i="6"/>
  <c r="FM18" i="6"/>
  <c r="FN18" i="6"/>
  <c r="FO18" i="6"/>
  <c r="FP18" i="6"/>
  <c r="FQ18" i="6"/>
  <c r="FR18" i="6"/>
  <c r="FS18" i="6"/>
  <c r="FT18" i="6"/>
  <c r="FU18" i="6"/>
  <c r="FV18" i="6"/>
  <c r="FW18" i="6"/>
  <c r="FX18" i="6"/>
  <c r="FY18" i="6"/>
  <c r="FZ18" i="6"/>
  <c r="GA18" i="6"/>
  <c r="GB18" i="6"/>
  <c r="GC18" i="6"/>
  <c r="GD18" i="6"/>
  <c r="GE18" i="6"/>
  <c r="GF18" i="6"/>
  <c r="GG18" i="6"/>
  <c r="GH18" i="6"/>
  <c r="GI18" i="6"/>
  <c r="GJ18" i="6"/>
  <c r="GK18" i="6"/>
  <c r="GL18" i="6"/>
  <c r="GM18" i="6"/>
  <c r="GN18" i="6"/>
  <c r="GO18" i="6"/>
  <c r="GP18" i="6"/>
  <c r="GQ18" i="6"/>
  <c r="GR18" i="6"/>
  <c r="GS18" i="6"/>
  <c r="GT18" i="6"/>
  <c r="GU18" i="6"/>
  <c r="GV18" i="6"/>
  <c r="GW18" i="6"/>
  <c r="GX18" i="6"/>
  <c r="GY18" i="6"/>
  <c r="GZ18" i="6"/>
  <c r="HA18" i="6"/>
  <c r="HB18" i="6"/>
  <c r="HC18" i="6"/>
  <c r="HD18" i="6"/>
  <c r="HE18" i="6"/>
  <c r="HF18" i="6"/>
  <c r="HG18" i="6"/>
  <c r="HH18" i="6"/>
  <c r="HI18" i="6"/>
  <c r="HJ18" i="6"/>
  <c r="HK18" i="6"/>
  <c r="HL18" i="6"/>
  <c r="HM18" i="6"/>
  <c r="HN18" i="6"/>
  <c r="HO18" i="6"/>
  <c r="HP18" i="6"/>
  <c r="HQ18" i="6"/>
  <c r="HR18" i="6"/>
  <c r="HS18" i="6"/>
  <c r="HT18" i="6"/>
  <c r="HU18" i="6"/>
  <c r="HV18" i="6"/>
  <c r="HW18" i="6"/>
  <c r="HX18" i="6"/>
  <c r="HY18" i="6"/>
  <c r="HZ18" i="6"/>
  <c r="IA18" i="6"/>
  <c r="IB18" i="6"/>
  <c r="IC18" i="6"/>
  <c r="ID18" i="6"/>
  <c r="IE18" i="6"/>
  <c r="IF18" i="6"/>
  <c r="IG18" i="6"/>
  <c r="IH18" i="6"/>
  <c r="II18" i="6"/>
  <c r="IJ18" i="6"/>
  <c r="IK18" i="6"/>
  <c r="IL18" i="6"/>
  <c r="IM18" i="6"/>
  <c r="IN18" i="6"/>
  <c r="IO18" i="6"/>
  <c r="IP18" i="6"/>
  <c r="IQ18" i="6"/>
  <c r="IR18" i="6"/>
  <c r="IS18" i="6"/>
  <c r="IT18" i="6"/>
  <c r="IU18" i="6"/>
  <c r="IV18" i="6"/>
  <c r="A17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AM17" i="6"/>
  <c r="AN17" i="6"/>
  <c r="AO17" i="6"/>
  <c r="AP17" i="6"/>
  <c r="AQ17" i="6"/>
  <c r="AR17" i="6"/>
  <c r="AS17" i="6"/>
  <c r="AT17" i="6"/>
  <c r="AU17" i="6"/>
  <c r="AV17" i="6"/>
  <c r="AW17" i="6"/>
  <c r="AX17" i="6"/>
  <c r="AY17" i="6"/>
  <c r="AZ17" i="6"/>
  <c r="BA17" i="6"/>
  <c r="BB17" i="6"/>
  <c r="BC17" i="6"/>
  <c r="BD17" i="6"/>
  <c r="BE17" i="6"/>
  <c r="BF17" i="6"/>
  <c r="BG17" i="6"/>
  <c r="BH17" i="6"/>
  <c r="BI17" i="6"/>
  <c r="BJ17" i="6"/>
  <c r="BK17" i="6"/>
  <c r="BL17" i="6"/>
  <c r="BM17" i="6"/>
  <c r="BN17" i="6"/>
  <c r="BO17" i="6"/>
  <c r="BP17" i="6"/>
  <c r="BQ17" i="6"/>
  <c r="BR17" i="6"/>
  <c r="BS17" i="6"/>
  <c r="BT17" i="6"/>
  <c r="BU17" i="6"/>
  <c r="BV17" i="6"/>
  <c r="BW17" i="6"/>
  <c r="BX17" i="6"/>
  <c r="BY17" i="6"/>
  <c r="BZ17" i="6"/>
  <c r="CA17" i="6"/>
  <c r="CB17" i="6"/>
  <c r="CC17" i="6"/>
  <c r="CD17" i="6"/>
  <c r="CE17" i="6"/>
  <c r="CF17" i="6"/>
  <c r="CG17" i="6"/>
  <c r="CH17" i="6"/>
  <c r="CI17" i="6"/>
  <c r="CJ17" i="6"/>
  <c r="CK17" i="6"/>
  <c r="CL17" i="6"/>
  <c r="CM17" i="6"/>
  <c r="CN17" i="6"/>
  <c r="CO17" i="6"/>
  <c r="CP17" i="6"/>
  <c r="CQ17" i="6"/>
  <c r="CR17" i="6"/>
  <c r="CS17" i="6"/>
  <c r="CT17" i="6"/>
  <c r="CU17" i="6"/>
  <c r="CV17" i="6"/>
  <c r="CW17" i="6"/>
  <c r="CX17" i="6"/>
  <c r="CY17" i="6"/>
  <c r="CZ17" i="6"/>
  <c r="DA17" i="6"/>
  <c r="DB17" i="6"/>
  <c r="DC17" i="6"/>
  <c r="DD17" i="6"/>
  <c r="DE17" i="6"/>
  <c r="DF17" i="6"/>
  <c r="DG17" i="6"/>
  <c r="DH17" i="6"/>
  <c r="DI17" i="6"/>
  <c r="DJ17" i="6"/>
  <c r="DK17" i="6"/>
  <c r="DL17" i="6"/>
  <c r="DM17" i="6"/>
  <c r="DN17" i="6"/>
  <c r="DO17" i="6"/>
  <c r="DP17" i="6"/>
  <c r="DQ17" i="6"/>
  <c r="DR17" i="6"/>
  <c r="DS17" i="6"/>
  <c r="DT17" i="6"/>
  <c r="DU17" i="6"/>
  <c r="DV17" i="6"/>
  <c r="DW17" i="6"/>
  <c r="DX17" i="6"/>
  <c r="DY17" i="6"/>
  <c r="DZ17" i="6"/>
  <c r="EA17" i="6"/>
  <c r="EB17" i="6"/>
  <c r="EC17" i="6"/>
  <c r="ED17" i="6"/>
  <c r="EE17" i="6"/>
  <c r="EF17" i="6"/>
  <c r="EG17" i="6"/>
  <c r="EH17" i="6"/>
  <c r="EI17" i="6"/>
  <c r="EJ17" i="6"/>
  <c r="EK17" i="6"/>
  <c r="EL17" i="6"/>
  <c r="EM17" i="6"/>
  <c r="EN17" i="6"/>
  <c r="EO17" i="6"/>
  <c r="EP17" i="6"/>
  <c r="EQ17" i="6"/>
  <c r="ER17" i="6"/>
  <c r="ES17" i="6"/>
  <c r="ET17" i="6"/>
  <c r="EU17" i="6"/>
  <c r="EV17" i="6"/>
  <c r="EW17" i="6"/>
  <c r="EX17" i="6"/>
  <c r="EY17" i="6"/>
  <c r="EZ17" i="6"/>
  <c r="FA17" i="6"/>
  <c r="FB17" i="6"/>
  <c r="FC17" i="6"/>
  <c r="FD17" i="6"/>
  <c r="FE17" i="6"/>
  <c r="FF17" i="6"/>
  <c r="FG17" i="6"/>
  <c r="FH17" i="6"/>
  <c r="FI17" i="6"/>
  <c r="FJ17" i="6"/>
  <c r="FK17" i="6"/>
  <c r="FL17" i="6"/>
  <c r="FM17" i="6"/>
  <c r="FN17" i="6"/>
  <c r="FO17" i="6"/>
  <c r="FP17" i="6"/>
  <c r="FQ17" i="6"/>
  <c r="FR17" i="6"/>
  <c r="FS17" i="6"/>
  <c r="FT17" i="6"/>
  <c r="FU17" i="6"/>
  <c r="FV17" i="6"/>
  <c r="FW17" i="6"/>
  <c r="FX17" i="6"/>
  <c r="FY17" i="6"/>
  <c r="FZ17" i="6"/>
  <c r="GA17" i="6"/>
  <c r="GB17" i="6"/>
  <c r="GC17" i="6"/>
  <c r="GD17" i="6"/>
  <c r="GE17" i="6"/>
  <c r="GF17" i="6"/>
  <c r="GG17" i="6"/>
  <c r="GH17" i="6"/>
  <c r="GI17" i="6"/>
  <c r="GJ17" i="6"/>
  <c r="GK17" i="6"/>
  <c r="GL17" i="6"/>
  <c r="GM17" i="6"/>
  <c r="GN17" i="6"/>
  <c r="GO17" i="6"/>
  <c r="GP17" i="6"/>
  <c r="GQ17" i="6"/>
  <c r="GR17" i="6"/>
  <c r="GS17" i="6"/>
  <c r="GT17" i="6"/>
  <c r="GU17" i="6"/>
  <c r="GV17" i="6"/>
  <c r="GW17" i="6"/>
  <c r="GX17" i="6"/>
  <c r="GY17" i="6"/>
  <c r="GZ17" i="6"/>
  <c r="HA17" i="6"/>
  <c r="HB17" i="6"/>
  <c r="HC17" i="6"/>
  <c r="HD17" i="6"/>
  <c r="HE17" i="6"/>
  <c r="HF17" i="6"/>
  <c r="HG17" i="6"/>
  <c r="HH17" i="6"/>
  <c r="HI17" i="6"/>
  <c r="HJ17" i="6"/>
  <c r="HK17" i="6"/>
  <c r="HL17" i="6"/>
  <c r="HM17" i="6"/>
  <c r="HN17" i="6"/>
  <c r="HO17" i="6"/>
  <c r="HP17" i="6"/>
  <c r="HQ17" i="6"/>
  <c r="HR17" i="6"/>
  <c r="HS17" i="6"/>
  <c r="HT17" i="6"/>
  <c r="HU17" i="6"/>
  <c r="HV17" i="6"/>
  <c r="HW17" i="6"/>
  <c r="HX17" i="6"/>
  <c r="HY17" i="6"/>
  <c r="HZ17" i="6"/>
  <c r="IA17" i="6"/>
  <c r="IB17" i="6"/>
  <c r="IC17" i="6"/>
  <c r="ID17" i="6"/>
  <c r="IE17" i="6"/>
  <c r="IF17" i="6"/>
  <c r="IG17" i="6"/>
  <c r="IH17" i="6"/>
  <c r="II17" i="6"/>
  <c r="IJ17" i="6"/>
  <c r="IK17" i="6"/>
  <c r="IL17" i="6"/>
  <c r="IM17" i="6"/>
  <c r="IN17" i="6"/>
  <c r="IO17" i="6"/>
  <c r="IP17" i="6"/>
  <c r="IQ17" i="6"/>
  <c r="IR17" i="6"/>
  <c r="IS17" i="6"/>
  <c r="IT17" i="6"/>
  <c r="IU17" i="6"/>
  <c r="IV17" i="6"/>
  <c r="A16" i="6"/>
  <c r="B16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M16" i="6"/>
  <c r="AN16" i="6"/>
  <c r="AO16" i="6"/>
  <c r="AP16" i="6"/>
  <c r="AQ16" i="6"/>
  <c r="AR16" i="6"/>
  <c r="AS16" i="6"/>
  <c r="AT16" i="6"/>
  <c r="AU16" i="6"/>
  <c r="AV16" i="6"/>
  <c r="AW16" i="6"/>
  <c r="AX16" i="6"/>
  <c r="AY16" i="6"/>
  <c r="AZ16" i="6"/>
  <c r="BA16" i="6"/>
  <c r="BB16" i="6"/>
  <c r="BC16" i="6"/>
  <c r="BD16" i="6"/>
  <c r="BE16" i="6"/>
  <c r="BF16" i="6"/>
  <c r="BG16" i="6"/>
  <c r="BH16" i="6"/>
  <c r="BI16" i="6"/>
  <c r="BJ16" i="6"/>
  <c r="BK16" i="6"/>
  <c r="BL16" i="6"/>
  <c r="BM16" i="6"/>
  <c r="BN16" i="6"/>
  <c r="BO16" i="6"/>
  <c r="BP16" i="6"/>
  <c r="BQ16" i="6"/>
  <c r="BR16" i="6"/>
  <c r="BS16" i="6"/>
  <c r="BT16" i="6"/>
  <c r="BU16" i="6"/>
  <c r="BV16" i="6"/>
  <c r="BW16" i="6"/>
  <c r="BX16" i="6"/>
  <c r="BY16" i="6"/>
  <c r="BZ16" i="6"/>
  <c r="CA16" i="6"/>
  <c r="CB16" i="6"/>
  <c r="CC16" i="6"/>
  <c r="CD16" i="6"/>
  <c r="CE16" i="6"/>
  <c r="CF16" i="6"/>
  <c r="CG16" i="6"/>
  <c r="CH16" i="6"/>
  <c r="CI16" i="6"/>
  <c r="CJ16" i="6"/>
  <c r="CK16" i="6"/>
  <c r="CL16" i="6"/>
  <c r="CM16" i="6"/>
  <c r="CN16" i="6"/>
  <c r="CO16" i="6"/>
  <c r="CP16" i="6"/>
  <c r="CQ16" i="6"/>
  <c r="CR16" i="6"/>
  <c r="CS16" i="6"/>
  <c r="CT16" i="6"/>
  <c r="CU16" i="6"/>
  <c r="CV16" i="6"/>
  <c r="CW16" i="6"/>
  <c r="CX16" i="6"/>
  <c r="CY16" i="6"/>
  <c r="CZ16" i="6"/>
  <c r="DA16" i="6"/>
  <c r="DB16" i="6"/>
  <c r="DC16" i="6"/>
  <c r="DD16" i="6"/>
  <c r="DE16" i="6"/>
  <c r="DF16" i="6"/>
  <c r="DG16" i="6"/>
  <c r="DH16" i="6"/>
  <c r="DI16" i="6"/>
  <c r="DJ16" i="6"/>
  <c r="DK16" i="6"/>
  <c r="DL16" i="6"/>
  <c r="DM16" i="6"/>
  <c r="DN16" i="6"/>
  <c r="DO16" i="6"/>
  <c r="DP16" i="6"/>
  <c r="DQ16" i="6"/>
  <c r="DR16" i="6"/>
  <c r="DS16" i="6"/>
  <c r="DT16" i="6"/>
  <c r="DU16" i="6"/>
  <c r="DV16" i="6"/>
  <c r="DW16" i="6"/>
  <c r="DX16" i="6"/>
  <c r="DY16" i="6"/>
  <c r="DZ16" i="6"/>
  <c r="EA16" i="6"/>
  <c r="EB16" i="6"/>
  <c r="EC16" i="6"/>
  <c r="ED16" i="6"/>
  <c r="EE16" i="6"/>
  <c r="EF16" i="6"/>
  <c r="EG16" i="6"/>
  <c r="EH16" i="6"/>
  <c r="EI16" i="6"/>
  <c r="EJ16" i="6"/>
  <c r="EK16" i="6"/>
  <c r="EL16" i="6"/>
  <c r="EM16" i="6"/>
  <c r="EN16" i="6"/>
  <c r="EO16" i="6"/>
  <c r="EP16" i="6"/>
  <c r="EQ16" i="6"/>
  <c r="ER16" i="6"/>
  <c r="ES16" i="6"/>
  <c r="ET16" i="6"/>
  <c r="EU16" i="6"/>
  <c r="EV16" i="6"/>
  <c r="EW16" i="6"/>
  <c r="EX16" i="6"/>
  <c r="EY16" i="6"/>
  <c r="EZ16" i="6"/>
  <c r="FA16" i="6"/>
  <c r="FB16" i="6"/>
  <c r="FC16" i="6"/>
  <c r="FD16" i="6"/>
  <c r="FE16" i="6"/>
  <c r="FF16" i="6"/>
  <c r="FG16" i="6"/>
  <c r="FH16" i="6"/>
  <c r="FI16" i="6"/>
  <c r="FJ16" i="6"/>
  <c r="FK16" i="6"/>
  <c r="FL16" i="6"/>
  <c r="FM16" i="6"/>
  <c r="FN16" i="6"/>
  <c r="FO16" i="6"/>
  <c r="FP16" i="6"/>
  <c r="FQ16" i="6"/>
  <c r="FR16" i="6"/>
  <c r="FS16" i="6"/>
  <c r="FT16" i="6"/>
  <c r="FU16" i="6"/>
  <c r="FV16" i="6"/>
  <c r="FW16" i="6"/>
  <c r="FX16" i="6"/>
  <c r="FY16" i="6"/>
  <c r="FZ16" i="6"/>
  <c r="GA16" i="6"/>
  <c r="GB16" i="6"/>
  <c r="GC16" i="6"/>
  <c r="GD16" i="6"/>
  <c r="GE16" i="6"/>
  <c r="GF16" i="6"/>
  <c r="GG16" i="6"/>
  <c r="GH16" i="6"/>
  <c r="GI16" i="6"/>
  <c r="GJ16" i="6"/>
  <c r="GK16" i="6"/>
  <c r="GL16" i="6"/>
  <c r="GM16" i="6"/>
  <c r="GN16" i="6"/>
  <c r="GO16" i="6"/>
  <c r="GP16" i="6"/>
  <c r="GQ16" i="6"/>
  <c r="GR16" i="6"/>
  <c r="GS16" i="6"/>
  <c r="GT16" i="6"/>
  <c r="GU16" i="6"/>
  <c r="GV16" i="6"/>
  <c r="GW16" i="6"/>
  <c r="GX16" i="6"/>
  <c r="GY16" i="6"/>
  <c r="GZ16" i="6"/>
  <c r="HA16" i="6"/>
  <c r="HB16" i="6"/>
  <c r="HC16" i="6"/>
  <c r="HD16" i="6"/>
  <c r="HE16" i="6"/>
  <c r="HF16" i="6"/>
  <c r="HG16" i="6"/>
  <c r="HH16" i="6"/>
  <c r="HI16" i="6"/>
  <c r="HJ16" i="6"/>
  <c r="HK16" i="6"/>
  <c r="HL16" i="6"/>
  <c r="HM16" i="6"/>
  <c r="HN16" i="6"/>
  <c r="HO16" i="6"/>
  <c r="HP16" i="6"/>
  <c r="HQ16" i="6"/>
  <c r="HR16" i="6"/>
  <c r="HS16" i="6"/>
  <c r="HT16" i="6"/>
  <c r="HU16" i="6"/>
  <c r="HV16" i="6"/>
  <c r="HW16" i="6"/>
  <c r="HX16" i="6"/>
  <c r="HY16" i="6"/>
  <c r="HZ16" i="6"/>
  <c r="IA16" i="6"/>
  <c r="IB16" i="6"/>
  <c r="IC16" i="6"/>
  <c r="ID16" i="6"/>
  <c r="IE16" i="6"/>
  <c r="IF16" i="6"/>
  <c r="IG16" i="6"/>
  <c r="IH16" i="6"/>
  <c r="II16" i="6"/>
  <c r="IJ16" i="6"/>
  <c r="IK16" i="6"/>
  <c r="IL16" i="6"/>
  <c r="IM16" i="6"/>
  <c r="IN16" i="6"/>
  <c r="IO16" i="6"/>
  <c r="IP16" i="6"/>
  <c r="IQ16" i="6"/>
  <c r="IR16" i="6"/>
  <c r="IS16" i="6"/>
  <c r="IT16" i="6"/>
  <c r="IU16" i="6"/>
  <c r="IV16" i="6"/>
  <c r="A15" i="6"/>
  <c r="B15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AN15" i="6"/>
  <c r="AO15" i="6"/>
  <c r="AP15" i="6"/>
  <c r="AQ15" i="6"/>
  <c r="AR15" i="6"/>
  <c r="AS15" i="6"/>
  <c r="AT15" i="6"/>
  <c r="AU15" i="6"/>
  <c r="AV15" i="6"/>
  <c r="AW15" i="6"/>
  <c r="AX15" i="6"/>
  <c r="AY15" i="6"/>
  <c r="AZ15" i="6"/>
  <c r="BA15" i="6"/>
  <c r="BB15" i="6"/>
  <c r="BC15" i="6"/>
  <c r="BD15" i="6"/>
  <c r="BE15" i="6"/>
  <c r="BF15" i="6"/>
  <c r="BG15" i="6"/>
  <c r="BH15" i="6"/>
  <c r="BI15" i="6"/>
  <c r="BJ15" i="6"/>
  <c r="BK15" i="6"/>
  <c r="BL15" i="6"/>
  <c r="BM15" i="6"/>
  <c r="BN15" i="6"/>
  <c r="BO15" i="6"/>
  <c r="BP15" i="6"/>
  <c r="BQ15" i="6"/>
  <c r="BR15" i="6"/>
  <c r="BS15" i="6"/>
  <c r="BT15" i="6"/>
  <c r="BU15" i="6"/>
  <c r="BV15" i="6"/>
  <c r="BW15" i="6"/>
  <c r="BX15" i="6"/>
  <c r="BY15" i="6"/>
  <c r="BZ15" i="6"/>
  <c r="CA15" i="6"/>
  <c r="CB15" i="6"/>
  <c r="CC15" i="6"/>
  <c r="CD15" i="6"/>
  <c r="CE15" i="6"/>
  <c r="CF15" i="6"/>
  <c r="CG15" i="6"/>
  <c r="CH15" i="6"/>
  <c r="CI15" i="6"/>
  <c r="CJ15" i="6"/>
  <c r="CK15" i="6"/>
  <c r="CL15" i="6"/>
  <c r="CM15" i="6"/>
  <c r="CN15" i="6"/>
  <c r="CO15" i="6"/>
  <c r="CP15" i="6"/>
  <c r="CQ15" i="6"/>
  <c r="CR15" i="6"/>
  <c r="CS15" i="6"/>
  <c r="CT15" i="6"/>
  <c r="CU15" i="6"/>
  <c r="CV15" i="6"/>
  <c r="CW15" i="6"/>
  <c r="CX15" i="6"/>
  <c r="CY15" i="6"/>
  <c r="CZ15" i="6"/>
  <c r="DA15" i="6"/>
  <c r="DB15" i="6"/>
  <c r="DC15" i="6"/>
  <c r="DD15" i="6"/>
  <c r="DE15" i="6"/>
  <c r="DF15" i="6"/>
  <c r="DG15" i="6"/>
  <c r="DH15" i="6"/>
  <c r="DI15" i="6"/>
  <c r="DJ15" i="6"/>
  <c r="DK15" i="6"/>
  <c r="DL15" i="6"/>
  <c r="DM15" i="6"/>
  <c r="DN15" i="6"/>
  <c r="DO15" i="6"/>
  <c r="DP15" i="6"/>
  <c r="DQ15" i="6"/>
  <c r="DR15" i="6"/>
  <c r="DS15" i="6"/>
  <c r="DT15" i="6"/>
  <c r="DU15" i="6"/>
  <c r="DV15" i="6"/>
  <c r="DW15" i="6"/>
  <c r="DX15" i="6"/>
  <c r="DY15" i="6"/>
  <c r="DZ15" i="6"/>
  <c r="EA15" i="6"/>
  <c r="EB15" i="6"/>
  <c r="EC15" i="6"/>
  <c r="ED15" i="6"/>
  <c r="EE15" i="6"/>
  <c r="EF15" i="6"/>
  <c r="EG15" i="6"/>
  <c r="EH15" i="6"/>
  <c r="EI15" i="6"/>
  <c r="EJ15" i="6"/>
  <c r="EK15" i="6"/>
  <c r="EL15" i="6"/>
  <c r="EM15" i="6"/>
  <c r="EN15" i="6"/>
  <c r="EO15" i="6"/>
  <c r="EP15" i="6"/>
  <c r="EQ15" i="6"/>
  <c r="ER15" i="6"/>
  <c r="ES15" i="6"/>
  <c r="ET15" i="6"/>
  <c r="EU15" i="6"/>
  <c r="EV15" i="6"/>
  <c r="EW15" i="6"/>
  <c r="EX15" i="6"/>
  <c r="EY15" i="6"/>
  <c r="EZ15" i="6"/>
  <c r="FA15" i="6"/>
  <c r="FB15" i="6"/>
  <c r="FC15" i="6"/>
  <c r="FD15" i="6"/>
  <c r="FE15" i="6"/>
  <c r="FF15" i="6"/>
  <c r="FG15" i="6"/>
  <c r="FH15" i="6"/>
  <c r="FI15" i="6"/>
  <c r="FJ15" i="6"/>
  <c r="FK15" i="6"/>
  <c r="FL15" i="6"/>
  <c r="FM15" i="6"/>
  <c r="FN15" i="6"/>
  <c r="FO15" i="6"/>
  <c r="FP15" i="6"/>
  <c r="FQ15" i="6"/>
  <c r="FR15" i="6"/>
  <c r="FS15" i="6"/>
  <c r="FT15" i="6"/>
  <c r="FU15" i="6"/>
  <c r="FV15" i="6"/>
  <c r="FW15" i="6"/>
  <c r="FX15" i="6"/>
  <c r="FY15" i="6"/>
  <c r="FZ15" i="6"/>
  <c r="GA15" i="6"/>
  <c r="GB15" i="6"/>
  <c r="GC15" i="6"/>
  <c r="GD15" i="6"/>
  <c r="GE15" i="6"/>
  <c r="GF15" i="6"/>
  <c r="GG15" i="6"/>
  <c r="GH15" i="6"/>
  <c r="GI15" i="6"/>
  <c r="GJ15" i="6"/>
  <c r="GK15" i="6"/>
  <c r="GL15" i="6"/>
  <c r="GM15" i="6"/>
  <c r="GN15" i="6"/>
  <c r="GO15" i="6"/>
  <c r="GP15" i="6"/>
  <c r="GQ15" i="6"/>
  <c r="GR15" i="6"/>
  <c r="GS15" i="6"/>
  <c r="GT15" i="6"/>
  <c r="GU15" i="6"/>
  <c r="GV15" i="6"/>
  <c r="GW15" i="6"/>
  <c r="GX15" i="6"/>
  <c r="GY15" i="6"/>
  <c r="GZ15" i="6"/>
  <c r="HA15" i="6"/>
  <c r="HB15" i="6"/>
  <c r="HC15" i="6"/>
  <c r="HD15" i="6"/>
  <c r="HE15" i="6"/>
  <c r="HF15" i="6"/>
  <c r="HG15" i="6"/>
  <c r="HH15" i="6"/>
  <c r="HI15" i="6"/>
  <c r="HJ15" i="6"/>
  <c r="HK15" i="6"/>
  <c r="HL15" i="6"/>
  <c r="HM15" i="6"/>
  <c r="HN15" i="6"/>
  <c r="HO15" i="6"/>
  <c r="HP15" i="6"/>
  <c r="HQ15" i="6"/>
  <c r="HR15" i="6"/>
  <c r="HS15" i="6"/>
  <c r="HT15" i="6"/>
  <c r="HU15" i="6"/>
  <c r="HV15" i="6"/>
  <c r="HW15" i="6"/>
  <c r="HX15" i="6"/>
  <c r="HY15" i="6"/>
  <c r="HZ15" i="6"/>
  <c r="IA15" i="6"/>
  <c r="IB15" i="6"/>
  <c r="IC15" i="6"/>
  <c r="ID15" i="6"/>
  <c r="IE15" i="6"/>
  <c r="IF15" i="6"/>
  <c r="IG15" i="6"/>
  <c r="IH15" i="6"/>
  <c r="II15" i="6"/>
  <c r="IJ15" i="6"/>
  <c r="IK15" i="6"/>
  <c r="IL15" i="6"/>
  <c r="IM15" i="6"/>
  <c r="IN15" i="6"/>
  <c r="IO15" i="6"/>
  <c r="IP15" i="6"/>
  <c r="IQ15" i="6"/>
  <c r="IR15" i="6"/>
  <c r="IS15" i="6"/>
  <c r="IT15" i="6"/>
  <c r="IU15" i="6"/>
  <c r="IV15" i="6"/>
  <c r="A14" i="6"/>
  <c r="B14" i="6"/>
  <c r="C14" i="6"/>
  <c r="D14" i="6"/>
  <c r="E14" i="6"/>
  <c r="F14" i="6"/>
  <c r="G14" i="6"/>
  <c r="H14" i="6"/>
  <c r="I14" i="6"/>
  <c r="J14" i="6"/>
  <c r="K14" i="6"/>
  <c r="L14" i="6"/>
  <c r="M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M14" i="6"/>
  <c r="AN14" i="6"/>
  <c r="AO14" i="6"/>
  <c r="AP14" i="6"/>
  <c r="AQ14" i="6"/>
  <c r="AR14" i="6"/>
  <c r="AS14" i="6"/>
  <c r="AT14" i="6"/>
  <c r="AU14" i="6"/>
  <c r="AV14" i="6"/>
  <c r="AW14" i="6"/>
  <c r="AX14" i="6"/>
  <c r="AY14" i="6"/>
  <c r="AZ14" i="6"/>
  <c r="BA14" i="6"/>
  <c r="BB14" i="6"/>
  <c r="BC14" i="6"/>
  <c r="BD14" i="6"/>
  <c r="BE14" i="6"/>
  <c r="BF14" i="6"/>
  <c r="BG14" i="6"/>
  <c r="BH14" i="6"/>
  <c r="BI14" i="6"/>
  <c r="BJ14" i="6"/>
  <c r="BK14" i="6"/>
  <c r="BL14" i="6"/>
  <c r="BM14" i="6"/>
  <c r="BN14" i="6"/>
  <c r="BO14" i="6"/>
  <c r="BP14" i="6"/>
  <c r="BQ14" i="6"/>
  <c r="BR14" i="6"/>
  <c r="BS14" i="6"/>
  <c r="BT14" i="6"/>
  <c r="BU14" i="6"/>
  <c r="BV14" i="6"/>
  <c r="BW14" i="6"/>
  <c r="BX14" i="6"/>
  <c r="BY14" i="6"/>
  <c r="BZ14" i="6"/>
  <c r="CA14" i="6"/>
  <c r="CB14" i="6"/>
  <c r="CC14" i="6"/>
  <c r="CD14" i="6"/>
  <c r="CE14" i="6"/>
  <c r="CF14" i="6"/>
  <c r="CG14" i="6"/>
  <c r="CH14" i="6"/>
  <c r="CI14" i="6"/>
  <c r="CJ14" i="6"/>
  <c r="CK14" i="6"/>
  <c r="CL14" i="6"/>
  <c r="CM14" i="6"/>
  <c r="CN14" i="6"/>
  <c r="CO14" i="6"/>
  <c r="CP14" i="6"/>
  <c r="CQ14" i="6"/>
  <c r="CR14" i="6"/>
  <c r="CS14" i="6"/>
  <c r="CT14" i="6"/>
  <c r="CU14" i="6"/>
  <c r="CV14" i="6"/>
  <c r="CW14" i="6"/>
  <c r="CX14" i="6"/>
  <c r="CY14" i="6"/>
  <c r="CZ14" i="6"/>
  <c r="DA14" i="6"/>
  <c r="DB14" i="6"/>
  <c r="DC14" i="6"/>
  <c r="DD14" i="6"/>
  <c r="DE14" i="6"/>
  <c r="DF14" i="6"/>
  <c r="DG14" i="6"/>
  <c r="DH14" i="6"/>
  <c r="DI14" i="6"/>
  <c r="DJ14" i="6"/>
  <c r="DK14" i="6"/>
  <c r="DL14" i="6"/>
  <c r="DM14" i="6"/>
  <c r="DN14" i="6"/>
  <c r="DO14" i="6"/>
  <c r="DP14" i="6"/>
  <c r="DQ14" i="6"/>
  <c r="DR14" i="6"/>
  <c r="DS14" i="6"/>
  <c r="DT14" i="6"/>
  <c r="DU14" i="6"/>
  <c r="DV14" i="6"/>
  <c r="DW14" i="6"/>
  <c r="DX14" i="6"/>
  <c r="DY14" i="6"/>
  <c r="DZ14" i="6"/>
  <c r="EA14" i="6"/>
  <c r="EB14" i="6"/>
  <c r="EC14" i="6"/>
  <c r="ED14" i="6"/>
  <c r="EE14" i="6"/>
  <c r="EF14" i="6"/>
  <c r="EG14" i="6"/>
  <c r="EH14" i="6"/>
  <c r="EI14" i="6"/>
  <c r="EJ14" i="6"/>
  <c r="EK14" i="6"/>
  <c r="EL14" i="6"/>
  <c r="EM14" i="6"/>
  <c r="EN14" i="6"/>
  <c r="EO14" i="6"/>
  <c r="EP14" i="6"/>
  <c r="EQ14" i="6"/>
  <c r="ER14" i="6"/>
  <c r="ES14" i="6"/>
  <c r="ET14" i="6"/>
  <c r="EU14" i="6"/>
  <c r="EV14" i="6"/>
  <c r="EW14" i="6"/>
  <c r="EX14" i="6"/>
  <c r="EY14" i="6"/>
  <c r="EZ14" i="6"/>
  <c r="FA14" i="6"/>
  <c r="FB14" i="6"/>
  <c r="FC14" i="6"/>
  <c r="FD14" i="6"/>
  <c r="FE14" i="6"/>
  <c r="FF14" i="6"/>
  <c r="FG14" i="6"/>
  <c r="FH14" i="6"/>
  <c r="FI14" i="6"/>
  <c r="FJ14" i="6"/>
  <c r="FK14" i="6"/>
  <c r="FL14" i="6"/>
  <c r="FM14" i="6"/>
  <c r="FN14" i="6"/>
  <c r="FO14" i="6"/>
  <c r="FP14" i="6"/>
  <c r="FQ14" i="6"/>
  <c r="FR14" i="6"/>
  <c r="FS14" i="6"/>
  <c r="FT14" i="6"/>
  <c r="FU14" i="6"/>
  <c r="FV14" i="6"/>
  <c r="FW14" i="6"/>
  <c r="FX14" i="6"/>
  <c r="FY14" i="6"/>
  <c r="FZ14" i="6"/>
  <c r="GA14" i="6"/>
  <c r="GB14" i="6"/>
  <c r="GC14" i="6"/>
  <c r="GD14" i="6"/>
  <c r="GE14" i="6"/>
  <c r="GF14" i="6"/>
  <c r="GG14" i="6"/>
  <c r="GH14" i="6"/>
  <c r="GI14" i="6"/>
  <c r="GJ14" i="6"/>
  <c r="GK14" i="6"/>
  <c r="GL14" i="6"/>
  <c r="GM14" i="6"/>
  <c r="GN14" i="6"/>
  <c r="GO14" i="6"/>
  <c r="GP14" i="6"/>
  <c r="GQ14" i="6"/>
  <c r="GR14" i="6"/>
  <c r="GS14" i="6"/>
  <c r="GT14" i="6"/>
  <c r="GU14" i="6"/>
  <c r="GV14" i="6"/>
  <c r="GW14" i="6"/>
  <c r="GX14" i="6"/>
  <c r="GY14" i="6"/>
  <c r="GZ14" i="6"/>
  <c r="HA14" i="6"/>
  <c r="HB14" i="6"/>
  <c r="HC14" i="6"/>
  <c r="HD14" i="6"/>
  <c r="HE14" i="6"/>
  <c r="HF14" i="6"/>
  <c r="HG14" i="6"/>
  <c r="HH14" i="6"/>
  <c r="HI14" i="6"/>
  <c r="HJ14" i="6"/>
  <c r="HK14" i="6"/>
  <c r="HL14" i="6"/>
  <c r="HM14" i="6"/>
  <c r="HN14" i="6"/>
  <c r="HO14" i="6"/>
  <c r="HP14" i="6"/>
  <c r="HQ14" i="6"/>
  <c r="HR14" i="6"/>
  <c r="HS14" i="6"/>
  <c r="HT14" i="6"/>
  <c r="HU14" i="6"/>
  <c r="HV14" i="6"/>
  <c r="HW14" i="6"/>
  <c r="HX14" i="6"/>
  <c r="HY14" i="6"/>
  <c r="HZ14" i="6"/>
  <c r="IA14" i="6"/>
  <c r="IB14" i="6"/>
  <c r="IC14" i="6"/>
  <c r="ID14" i="6"/>
  <c r="IE14" i="6"/>
  <c r="IF14" i="6"/>
  <c r="IG14" i="6"/>
  <c r="IH14" i="6"/>
  <c r="II14" i="6"/>
  <c r="IJ14" i="6"/>
  <c r="IK14" i="6"/>
  <c r="IL14" i="6"/>
  <c r="IM14" i="6"/>
  <c r="IN14" i="6"/>
  <c r="IO14" i="6"/>
  <c r="IP14" i="6"/>
  <c r="IQ14" i="6"/>
  <c r="IR14" i="6"/>
  <c r="IS14" i="6"/>
  <c r="IT14" i="6"/>
  <c r="IU14" i="6"/>
  <c r="IV14" i="6"/>
  <c r="A13" i="6"/>
  <c r="B13" i="6"/>
  <c r="C13" i="6"/>
  <c r="D13" i="6"/>
  <c r="E13" i="6"/>
  <c r="F13" i="6"/>
  <c r="G13" i="6"/>
  <c r="H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AN13" i="6"/>
  <c r="AO13" i="6"/>
  <c r="AP13" i="6"/>
  <c r="AQ13" i="6"/>
  <c r="AR13" i="6"/>
  <c r="AS13" i="6"/>
  <c r="AT13" i="6"/>
  <c r="AU13" i="6"/>
  <c r="AV13" i="6"/>
  <c r="AW13" i="6"/>
  <c r="AX13" i="6"/>
  <c r="AY13" i="6"/>
  <c r="AZ13" i="6"/>
  <c r="BA13" i="6"/>
  <c r="BB13" i="6"/>
  <c r="BC13" i="6"/>
  <c r="BD13" i="6"/>
  <c r="BE13" i="6"/>
  <c r="BF13" i="6"/>
  <c r="BG13" i="6"/>
  <c r="BH13" i="6"/>
  <c r="BI13" i="6"/>
  <c r="BJ13" i="6"/>
  <c r="BK13" i="6"/>
  <c r="BL13" i="6"/>
  <c r="BM13" i="6"/>
  <c r="BN13" i="6"/>
  <c r="BO13" i="6"/>
  <c r="BP13" i="6"/>
  <c r="BQ13" i="6"/>
  <c r="BR13" i="6"/>
  <c r="BS13" i="6"/>
  <c r="BT13" i="6"/>
  <c r="BU13" i="6"/>
  <c r="BV13" i="6"/>
  <c r="BW13" i="6"/>
  <c r="BX13" i="6"/>
  <c r="BY13" i="6"/>
  <c r="BZ13" i="6"/>
  <c r="CA13" i="6"/>
  <c r="CB13" i="6"/>
  <c r="CC13" i="6"/>
  <c r="CD13" i="6"/>
  <c r="CE13" i="6"/>
  <c r="CF13" i="6"/>
  <c r="CG13" i="6"/>
  <c r="CH13" i="6"/>
  <c r="CI13" i="6"/>
  <c r="CJ13" i="6"/>
  <c r="CK13" i="6"/>
  <c r="CL13" i="6"/>
  <c r="CM13" i="6"/>
  <c r="CN13" i="6"/>
  <c r="CO13" i="6"/>
  <c r="CP13" i="6"/>
  <c r="CQ13" i="6"/>
  <c r="CR13" i="6"/>
  <c r="CS13" i="6"/>
  <c r="CT13" i="6"/>
  <c r="CU13" i="6"/>
  <c r="CV13" i="6"/>
  <c r="CW13" i="6"/>
  <c r="CX13" i="6"/>
  <c r="CY13" i="6"/>
  <c r="CZ13" i="6"/>
  <c r="DA13" i="6"/>
  <c r="DB13" i="6"/>
  <c r="DC13" i="6"/>
  <c r="DD13" i="6"/>
  <c r="DE13" i="6"/>
  <c r="DF13" i="6"/>
  <c r="DG13" i="6"/>
  <c r="DH13" i="6"/>
  <c r="DI13" i="6"/>
  <c r="DJ13" i="6"/>
  <c r="DK13" i="6"/>
  <c r="DL13" i="6"/>
  <c r="DM13" i="6"/>
  <c r="DN13" i="6"/>
  <c r="DO13" i="6"/>
  <c r="DP13" i="6"/>
  <c r="DQ13" i="6"/>
  <c r="DR13" i="6"/>
  <c r="DS13" i="6"/>
  <c r="DT13" i="6"/>
  <c r="DU13" i="6"/>
  <c r="DV13" i="6"/>
  <c r="DW13" i="6"/>
  <c r="DX13" i="6"/>
  <c r="DY13" i="6"/>
  <c r="DZ13" i="6"/>
  <c r="EA13" i="6"/>
  <c r="EB13" i="6"/>
  <c r="EC13" i="6"/>
  <c r="ED13" i="6"/>
  <c r="EE13" i="6"/>
  <c r="EF13" i="6"/>
  <c r="EG13" i="6"/>
  <c r="EH13" i="6"/>
  <c r="EI13" i="6"/>
  <c r="EJ13" i="6"/>
  <c r="EK13" i="6"/>
  <c r="EL13" i="6"/>
  <c r="EM13" i="6"/>
  <c r="EN13" i="6"/>
  <c r="EO13" i="6"/>
  <c r="EP13" i="6"/>
  <c r="EQ13" i="6"/>
  <c r="ER13" i="6"/>
  <c r="ES13" i="6"/>
  <c r="ET13" i="6"/>
  <c r="EU13" i="6"/>
  <c r="EV13" i="6"/>
  <c r="EW13" i="6"/>
  <c r="EX13" i="6"/>
  <c r="EY13" i="6"/>
  <c r="EZ13" i="6"/>
  <c r="FA13" i="6"/>
  <c r="FB13" i="6"/>
  <c r="FC13" i="6"/>
  <c r="FD13" i="6"/>
  <c r="FE13" i="6"/>
  <c r="FF13" i="6"/>
  <c r="FG13" i="6"/>
  <c r="FH13" i="6"/>
  <c r="FI13" i="6"/>
  <c r="FJ13" i="6"/>
  <c r="FK13" i="6"/>
  <c r="FL13" i="6"/>
  <c r="FM13" i="6"/>
  <c r="FN13" i="6"/>
  <c r="FO13" i="6"/>
  <c r="FP13" i="6"/>
  <c r="FQ13" i="6"/>
  <c r="FR13" i="6"/>
  <c r="FS13" i="6"/>
  <c r="FT13" i="6"/>
  <c r="FU13" i="6"/>
  <c r="FV13" i="6"/>
  <c r="FW13" i="6"/>
  <c r="FX13" i="6"/>
  <c r="FY13" i="6"/>
  <c r="FZ13" i="6"/>
  <c r="GA13" i="6"/>
  <c r="GB13" i="6"/>
  <c r="GC13" i="6"/>
  <c r="GD13" i="6"/>
  <c r="GE13" i="6"/>
  <c r="GF13" i="6"/>
  <c r="GG13" i="6"/>
  <c r="GH13" i="6"/>
  <c r="GI13" i="6"/>
  <c r="GJ13" i="6"/>
  <c r="GK13" i="6"/>
  <c r="GL13" i="6"/>
  <c r="GM13" i="6"/>
  <c r="GN13" i="6"/>
  <c r="GO13" i="6"/>
  <c r="GP13" i="6"/>
  <c r="GQ13" i="6"/>
  <c r="GR13" i="6"/>
  <c r="GS13" i="6"/>
  <c r="GT13" i="6"/>
  <c r="GU13" i="6"/>
  <c r="GV13" i="6"/>
  <c r="GW13" i="6"/>
  <c r="GX13" i="6"/>
  <c r="GY13" i="6"/>
  <c r="GZ13" i="6"/>
  <c r="HA13" i="6"/>
  <c r="HB13" i="6"/>
  <c r="HC13" i="6"/>
  <c r="HD13" i="6"/>
  <c r="HE13" i="6"/>
  <c r="HF13" i="6"/>
  <c r="HG13" i="6"/>
  <c r="HH13" i="6"/>
  <c r="HI13" i="6"/>
  <c r="HJ13" i="6"/>
  <c r="HK13" i="6"/>
  <c r="HL13" i="6"/>
  <c r="HM13" i="6"/>
  <c r="HN13" i="6"/>
  <c r="HO13" i="6"/>
  <c r="HP13" i="6"/>
  <c r="HQ13" i="6"/>
  <c r="HR13" i="6"/>
  <c r="HS13" i="6"/>
  <c r="HT13" i="6"/>
  <c r="HU13" i="6"/>
  <c r="HV13" i="6"/>
  <c r="HW13" i="6"/>
  <c r="HX13" i="6"/>
  <c r="HY13" i="6"/>
  <c r="HZ13" i="6"/>
  <c r="IA13" i="6"/>
  <c r="IB13" i="6"/>
  <c r="IC13" i="6"/>
  <c r="ID13" i="6"/>
  <c r="IE13" i="6"/>
  <c r="IF13" i="6"/>
  <c r="IG13" i="6"/>
  <c r="IH13" i="6"/>
  <c r="II13" i="6"/>
  <c r="IJ13" i="6"/>
  <c r="IK13" i="6"/>
  <c r="IL13" i="6"/>
  <c r="IM13" i="6"/>
  <c r="IN13" i="6"/>
  <c r="IO13" i="6"/>
  <c r="IP13" i="6"/>
  <c r="IQ13" i="6"/>
  <c r="IR13" i="6"/>
  <c r="IS13" i="6"/>
  <c r="IT13" i="6"/>
  <c r="IU13" i="6"/>
  <c r="IV13" i="6"/>
  <c r="A12" i="6"/>
  <c r="B12" i="6"/>
  <c r="C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AO12" i="6"/>
  <c r="AP12" i="6"/>
  <c r="AQ12" i="6"/>
  <c r="AR12" i="6"/>
  <c r="AS12" i="6"/>
  <c r="AT12" i="6"/>
  <c r="AU12" i="6"/>
  <c r="AV12" i="6"/>
  <c r="AW12" i="6"/>
  <c r="AX12" i="6"/>
  <c r="AY12" i="6"/>
  <c r="AZ12" i="6"/>
  <c r="BA12" i="6"/>
  <c r="BB12" i="6"/>
  <c r="BC12" i="6"/>
  <c r="BD12" i="6"/>
  <c r="BE12" i="6"/>
  <c r="BF12" i="6"/>
  <c r="BG12" i="6"/>
  <c r="BH12" i="6"/>
  <c r="BI12" i="6"/>
  <c r="BJ12" i="6"/>
  <c r="BK12" i="6"/>
  <c r="BL12" i="6"/>
  <c r="BM12" i="6"/>
  <c r="BN12" i="6"/>
  <c r="BO12" i="6"/>
  <c r="BP12" i="6"/>
  <c r="BQ12" i="6"/>
  <c r="BR12" i="6"/>
  <c r="BS12" i="6"/>
  <c r="BT12" i="6"/>
  <c r="BU12" i="6"/>
  <c r="BV12" i="6"/>
  <c r="BW12" i="6"/>
  <c r="BX12" i="6"/>
  <c r="BY12" i="6"/>
  <c r="BZ12" i="6"/>
  <c r="CA12" i="6"/>
  <c r="CB12" i="6"/>
  <c r="CC12" i="6"/>
  <c r="CD12" i="6"/>
  <c r="CE12" i="6"/>
  <c r="CF12" i="6"/>
  <c r="CG12" i="6"/>
  <c r="CH12" i="6"/>
  <c r="CI12" i="6"/>
  <c r="CJ12" i="6"/>
  <c r="CK12" i="6"/>
  <c r="CL12" i="6"/>
  <c r="CM12" i="6"/>
  <c r="CN12" i="6"/>
  <c r="CO12" i="6"/>
  <c r="CP12" i="6"/>
  <c r="CQ12" i="6"/>
  <c r="CR12" i="6"/>
  <c r="CS12" i="6"/>
  <c r="CT12" i="6"/>
  <c r="CU12" i="6"/>
  <c r="CV12" i="6"/>
  <c r="CW12" i="6"/>
  <c r="CX12" i="6"/>
  <c r="CY12" i="6"/>
  <c r="CZ12" i="6"/>
  <c r="DA12" i="6"/>
  <c r="DB12" i="6"/>
  <c r="DC12" i="6"/>
  <c r="DD12" i="6"/>
  <c r="DE12" i="6"/>
  <c r="DF12" i="6"/>
  <c r="DG12" i="6"/>
  <c r="DH12" i="6"/>
  <c r="DI12" i="6"/>
  <c r="DJ12" i="6"/>
  <c r="DK12" i="6"/>
  <c r="DL12" i="6"/>
  <c r="DM12" i="6"/>
  <c r="DN12" i="6"/>
  <c r="DO12" i="6"/>
  <c r="DP12" i="6"/>
  <c r="DQ12" i="6"/>
  <c r="DR12" i="6"/>
  <c r="DS12" i="6"/>
  <c r="DT12" i="6"/>
  <c r="DU12" i="6"/>
  <c r="DV12" i="6"/>
  <c r="DW12" i="6"/>
  <c r="DX12" i="6"/>
  <c r="DY12" i="6"/>
  <c r="DZ12" i="6"/>
  <c r="EA12" i="6"/>
  <c r="EB12" i="6"/>
  <c r="EC12" i="6"/>
  <c r="ED12" i="6"/>
  <c r="EE12" i="6"/>
  <c r="EF12" i="6"/>
  <c r="EG12" i="6"/>
  <c r="EH12" i="6"/>
  <c r="EI12" i="6"/>
  <c r="EJ12" i="6"/>
  <c r="EK12" i="6"/>
  <c r="EL12" i="6"/>
  <c r="EM12" i="6"/>
  <c r="EN12" i="6"/>
  <c r="EO12" i="6"/>
  <c r="EP12" i="6"/>
  <c r="EQ12" i="6"/>
  <c r="ER12" i="6"/>
  <c r="ES12" i="6"/>
  <c r="ET12" i="6"/>
  <c r="EU12" i="6"/>
  <c r="EV12" i="6"/>
  <c r="EW12" i="6"/>
  <c r="EX12" i="6"/>
  <c r="EY12" i="6"/>
  <c r="EZ12" i="6"/>
  <c r="FA12" i="6"/>
  <c r="FB12" i="6"/>
  <c r="FC12" i="6"/>
  <c r="FD12" i="6"/>
  <c r="FE12" i="6"/>
  <c r="FF12" i="6"/>
  <c r="FG12" i="6"/>
  <c r="FH12" i="6"/>
  <c r="FI12" i="6"/>
  <c r="FJ12" i="6"/>
  <c r="FK12" i="6"/>
  <c r="FL12" i="6"/>
  <c r="FM12" i="6"/>
  <c r="FN12" i="6"/>
  <c r="FO12" i="6"/>
  <c r="FP12" i="6"/>
  <c r="FQ12" i="6"/>
  <c r="FR12" i="6"/>
  <c r="FS12" i="6"/>
  <c r="FT12" i="6"/>
  <c r="FU12" i="6"/>
  <c r="FV12" i="6"/>
  <c r="FW12" i="6"/>
  <c r="FX12" i="6"/>
  <c r="FY12" i="6"/>
  <c r="FZ12" i="6"/>
  <c r="GA12" i="6"/>
  <c r="GB12" i="6"/>
  <c r="GC12" i="6"/>
  <c r="GD12" i="6"/>
  <c r="GE12" i="6"/>
  <c r="GF12" i="6"/>
  <c r="GG12" i="6"/>
  <c r="GH12" i="6"/>
  <c r="GI12" i="6"/>
  <c r="GJ12" i="6"/>
  <c r="GK12" i="6"/>
  <c r="GL12" i="6"/>
  <c r="GM12" i="6"/>
  <c r="GN12" i="6"/>
  <c r="GO12" i="6"/>
  <c r="GP12" i="6"/>
  <c r="GQ12" i="6"/>
  <c r="GR12" i="6"/>
  <c r="GS12" i="6"/>
  <c r="GT12" i="6"/>
  <c r="GU12" i="6"/>
  <c r="GV12" i="6"/>
  <c r="GW12" i="6"/>
  <c r="GX12" i="6"/>
  <c r="GY12" i="6"/>
  <c r="GZ12" i="6"/>
  <c r="HA12" i="6"/>
  <c r="HB12" i="6"/>
  <c r="HC12" i="6"/>
  <c r="HD12" i="6"/>
  <c r="HE12" i="6"/>
  <c r="HF12" i="6"/>
  <c r="HG12" i="6"/>
  <c r="HH12" i="6"/>
  <c r="HI12" i="6"/>
  <c r="HJ12" i="6"/>
  <c r="HK12" i="6"/>
  <c r="HL12" i="6"/>
  <c r="HM12" i="6"/>
  <c r="HN12" i="6"/>
  <c r="HO12" i="6"/>
  <c r="HP12" i="6"/>
  <c r="HQ12" i="6"/>
  <c r="HR12" i="6"/>
  <c r="HS12" i="6"/>
  <c r="HT12" i="6"/>
  <c r="HU12" i="6"/>
  <c r="HV12" i="6"/>
  <c r="HW12" i="6"/>
  <c r="HX12" i="6"/>
  <c r="HY12" i="6"/>
  <c r="HZ12" i="6"/>
  <c r="IA12" i="6"/>
  <c r="IB12" i="6"/>
  <c r="IC12" i="6"/>
  <c r="ID12" i="6"/>
  <c r="IE12" i="6"/>
  <c r="IF12" i="6"/>
  <c r="IG12" i="6"/>
  <c r="IH12" i="6"/>
  <c r="II12" i="6"/>
  <c r="IJ12" i="6"/>
  <c r="IK12" i="6"/>
  <c r="IL12" i="6"/>
  <c r="IM12" i="6"/>
  <c r="IN12" i="6"/>
  <c r="IO12" i="6"/>
  <c r="IP12" i="6"/>
  <c r="IQ12" i="6"/>
  <c r="IR12" i="6"/>
  <c r="IS12" i="6"/>
  <c r="IT12" i="6"/>
  <c r="IU12" i="6"/>
  <c r="IV12" i="6"/>
  <c r="A11" i="6"/>
  <c r="B11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AN11" i="6"/>
  <c r="AO11" i="6"/>
  <c r="AP11" i="6"/>
  <c r="AQ11" i="6"/>
  <c r="AR11" i="6"/>
  <c r="AS11" i="6"/>
  <c r="AT11" i="6"/>
  <c r="AU11" i="6"/>
  <c r="AV11" i="6"/>
  <c r="AW11" i="6"/>
  <c r="AX11" i="6"/>
  <c r="AY11" i="6"/>
  <c r="AZ11" i="6"/>
  <c r="BA11" i="6"/>
  <c r="BB11" i="6"/>
  <c r="BC11" i="6"/>
  <c r="BD11" i="6"/>
  <c r="BE11" i="6"/>
  <c r="BF11" i="6"/>
  <c r="BG11" i="6"/>
  <c r="BH11" i="6"/>
  <c r="BI11" i="6"/>
  <c r="BJ11" i="6"/>
  <c r="BK11" i="6"/>
  <c r="BL11" i="6"/>
  <c r="BM11" i="6"/>
  <c r="BN11" i="6"/>
  <c r="BO11" i="6"/>
  <c r="BP11" i="6"/>
  <c r="BQ11" i="6"/>
  <c r="BR11" i="6"/>
  <c r="BS11" i="6"/>
  <c r="BT11" i="6"/>
  <c r="BU11" i="6"/>
  <c r="BV11" i="6"/>
  <c r="BW11" i="6"/>
  <c r="BX11" i="6"/>
  <c r="BY11" i="6"/>
  <c r="BZ11" i="6"/>
  <c r="CA11" i="6"/>
  <c r="CB11" i="6"/>
  <c r="CC11" i="6"/>
  <c r="CD11" i="6"/>
  <c r="CE11" i="6"/>
  <c r="CF11" i="6"/>
  <c r="CG11" i="6"/>
  <c r="CH11" i="6"/>
  <c r="CI11" i="6"/>
  <c r="CJ11" i="6"/>
  <c r="CK11" i="6"/>
  <c r="CL11" i="6"/>
  <c r="CM11" i="6"/>
  <c r="CN11" i="6"/>
  <c r="CO11" i="6"/>
  <c r="CP11" i="6"/>
  <c r="CQ11" i="6"/>
  <c r="CR11" i="6"/>
  <c r="CS11" i="6"/>
  <c r="CT11" i="6"/>
  <c r="CU11" i="6"/>
  <c r="CV11" i="6"/>
  <c r="CW11" i="6"/>
  <c r="CX11" i="6"/>
  <c r="CY11" i="6"/>
  <c r="CZ11" i="6"/>
  <c r="DA11" i="6"/>
  <c r="DB11" i="6"/>
  <c r="DC11" i="6"/>
  <c r="DD11" i="6"/>
  <c r="DE11" i="6"/>
  <c r="DF11" i="6"/>
  <c r="DG11" i="6"/>
  <c r="DH11" i="6"/>
  <c r="DI11" i="6"/>
  <c r="DJ11" i="6"/>
  <c r="DK11" i="6"/>
  <c r="DL11" i="6"/>
  <c r="DM11" i="6"/>
  <c r="DN11" i="6"/>
  <c r="DO11" i="6"/>
  <c r="DP11" i="6"/>
  <c r="DQ11" i="6"/>
  <c r="DR11" i="6"/>
  <c r="DS11" i="6"/>
  <c r="DT11" i="6"/>
  <c r="DU11" i="6"/>
  <c r="DV11" i="6"/>
  <c r="DW11" i="6"/>
  <c r="DX11" i="6"/>
  <c r="DY11" i="6"/>
  <c r="DZ11" i="6"/>
  <c r="EA11" i="6"/>
  <c r="EB11" i="6"/>
  <c r="EC11" i="6"/>
  <c r="ED11" i="6"/>
  <c r="EE11" i="6"/>
  <c r="EF11" i="6"/>
  <c r="EG11" i="6"/>
  <c r="EH11" i="6"/>
  <c r="EI11" i="6"/>
  <c r="EJ11" i="6"/>
  <c r="EK11" i="6"/>
  <c r="EL11" i="6"/>
  <c r="EM11" i="6"/>
  <c r="EN11" i="6"/>
  <c r="EO11" i="6"/>
  <c r="EP11" i="6"/>
  <c r="EQ11" i="6"/>
  <c r="ER11" i="6"/>
  <c r="ES11" i="6"/>
  <c r="ET11" i="6"/>
  <c r="EU11" i="6"/>
  <c r="EV11" i="6"/>
  <c r="EW11" i="6"/>
  <c r="EX11" i="6"/>
  <c r="EY11" i="6"/>
  <c r="EZ11" i="6"/>
  <c r="FA11" i="6"/>
  <c r="FB11" i="6"/>
  <c r="FC11" i="6"/>
  <c r="FD11" i="6"/>
  <c r="FE11" i="6"/>
  <c r="FF11" i="6"/>
  <c r="FG11" i="6"/>
  <c r="FH11" i="6"/>
  <c r="FI11" i="6"/>
  <c r="FJ11" i="6"/>
  <c r="FK11" i="6"/>
  <c r="FL11" i="6"/>
  <c r="FM11" i="6"/>
  <c r="FN11" i="6"/>
  <c r="FO11" i="6"/>
  <c r="FP11" i="6"/>
  <c r="FQ11" i="6"/>
  <c r="FR11" i="6"/>
  <c r="FS11" i="6"/>
  <c r="FT11" i="6"/>
  <c r="FU11" i="6"/>
  <c r="FV11" i="6"/>
  <c r="FW11" i="6"/>
  <c r="FX11" i="6"/>
  <c r="FY11" i="6"/>
  <c r="FZ11" i="6"/>
  <c r="GA11" i="6"/>
  <c r="GB11" i="6"/>
  <c r="GC11" i="6"/>
  <c r="GD11" i="6"/>
  <c r="GE11" i="6"/>
  <c r="GF11" i="6"/>
  <c r="GG11" i="6"/>
  <c r="GH11" i="6"/>
  <c r="GI11" i="6"/>
  <c r="GJ11" i="6"/>
  <c r="GK11" i="6"/>
  <c r="GL11" i="6"/>
  <c r="GM11" i="6"/>
  <c r="GN11" i="6"/>
  <c r="GO11" i="6"/>
  <c r="GP11" i="6"/>
  <c r="GQ11" i="6"/>
  <c r="GR11" i="6"/>
  <c r="GS11" i="6"/>
  <c r="GT11" i="6"/>
  <c r="GU11" i="6"/>
  <c r="GV11" i="6"/>
  <c r="GW11" i="6"/>
  <c r="GX11" i="6"/>
  <c r="GY11" i="6"/>
  <c r="GZ11" i="6"/>
  <c r="HA11" i="6"/>
  <c r="HB11" i="6"/>
  <c r="HC11" i="6"/>
  <c r="HD11" i="6"/>
  <c r="HE11" i="6"/>
  <c r="HF11" i="6"/>
  <c r="HG11" i="6"/>
  <c r="HH11" i="6"/>
  <c r="HI11" i="6"/>
  <c r="HJ11" i="6"/>
  <c r="HK11" i="6"/>
  <c r="HL11" i="6"/>
  <c r="HM11" i="6"/>
  <c r="HN11" i="6"/>
  <c r="HO11" i="6"/>
  <c r="HP11" i="6"/>
  <c r="HQ11" i="6"/>
  <c r="HR11" i="6"/>
  <c r="HS11" i="6"/>
  <c r="HT11" i="6"/>
  <c r="HU11" i="6"/>
  <c r="HV11" i="6"/>
  <c r="HW11" i="6"/>
  <c r="HX11" i="6"/>
  <c r="HY11" i="6"/>
  <c r="HZ11" i="6"/>
  <c r="IA11" i="6"/>
  <c r="IB11" i="6"/>
  <c r="IC11" i="6"/>
  <c r="ID11" i="6"/>
  <c r="IE11" i="6"/>
  <c r="IF11" i="6"/>
  <c r="IG11" i="6"/>
  <c r="IH11" i="6"/>
  <c r="II11" i="6"/>
  <c r="IJ11" i="6"/>
  <c r="IK11" i="6"/>
  <c r="IL11" i="6"/>
  <c r="IM11" i="6"/>
  <c r="IN11" i="6"/>
  <c r="IO11" i="6"/>
  <c r="IP11" i="6"/>
  <c r="IQ11" i="6"/>
  <c r="IR11" i="6"/>
  <c r="IS11" i="6"/>
  <c r="IT11" i="6"/>
  <c r="IU11" i="6"/>
  <c r="IV11" i="6"/>
  <c r="C10" i="6"/>
  <c r="D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AO10" i="6"/>
  <c r="AP10" i="6"/>
  <c r="AQ10" i="6"/>
  <c r="AR10" i="6"/>
  <c r="AS10" i="6"/>
  <c r="AT10" i="6"/>
  <c r="AU10" i="6"/>
  <c r="AV10" i="6"/>
  <c r="AW10" i="6"/>
  <c r="AX10" i="6"/>
  <c r="AY10" i="6"/>
  <c r="AZ10" i="6"/>
  <c r="BA10" i="6"/>
  <c r="BB10" i="6"/>
  <c r="BC10" i="6"/>
  <c r="BD10" i="6"/>
  <c r="BE10" i="6"/>
  <c r="BF10" i="6"/>
  <c r="BG10" i="6"/>
  <c r="BH10" i="6"/>
  <c r="BI10" i="6"/>
  <c r="BJ10" i="6"/>
  <c r="BK10" i="6"/>
  <c r="BL10" i="6"/>
  <c r="BM10" i="6"/>
  <c r="BN10" i="6"/>
  <c r="BO10" i="6"/>
  <c r="BP10" i="6"/>
  <c r="BQ10" i="6"/>
  <c r="BR10" i="6"/>
  <c r="BS10" i="6"/>
  <c r="BT10" i="6"/>
  <c r="BU10" i="6"/>
  <c r="BV10" i="6"/>
  <c r="BW10" i="6"/>
  <c r="BX10" i="6"/>
  <c r="BY10" i="6"/>
  <c r="BZ10" i="6"/>
  <c r="CA10" i="6"/>
  <c r="CB10" i="6"/>
  <c r="CC10" i="6"/>
  <c r="CD10" i="6"/>
  <c r="CE10" i="6"/>
  <c r="CF10" i="6"/>
  <c r="CG10" i="6"/>
  <c r="CH10" i="6"/>
  <c r="CI10" i="6"/>
  <c r="CJ10" i="6"/>
  <c r="CK10" i="6"/>
  <c r="CL10" i="6"/>
  <c r="CM10" i="6"/>
  <c r="CN10" i="6"/>
  <c r="CO10" i="6"/>
  <c r="CP10" i="6"/>
  <c r="CQ10" i="6"/>
  <c r="CR10" i="6"/>
  <c r="CS10" i="6"/>
  <c r="CT10" i="6"/>
  <c r="CU10" i="6"/>
  <c r="CV10" i="6"/>
  <c r="CW10" i="6"/>
  <c r="CX10" i="6"/>
  <c r="CY10" i="6"/>
  <c r="CZ10" i="6"/>
  <c r="DA10" i="6"/>
  <c r="DB10" i="6"/>
  <c r="DC10" i="6"/>
  <c r="DD10" i="6"/>
  <c r="DE10" i="6"/>
  <c r="DF10" i="6"/>
  <c r="DG10" i="6"/>
  <c r="DH10" i="6"/>
  <c r="DI10" i="6"/>
  <c r="DJ10" i="6"/>
  <c r="DK10" i="6"/>
  <c r="DL10" i="6"/>
  <c r="DM10" i="6"/>
  <c r="DN10" i="6"/>
  <c r="DO10" i="6"/>
  <c r="DP10" i="6"/>
  <c r="DQ10" i="6"/>
  <c r="DR10" i="6"/>
  <c r="DS10" i="6"/>
  <c r="DT10" i="6"/>
  <c r="DU10" i="6"/>
  <c r="DV10" i="6"/>
  <c r="DW10" i="6"/>
  <c r="DX10" i="6"/>
  <c r="DY10" i="6"/>
  <c r="DZ10" i="6"/>
  <c r="EA10" i="6"/>
  <c r="EB10" i="6"/>
  <c r="EC10" i="6"/>
  <c r="ED10" i="6"/>
  <c r="EE10" i="6"/>
  <c r="EF10" i="6"/>
  <c r="EG10" i="6"/>
  <c r="EH10" i="6"/>
  <c r="EI10" i="6"/>
  <c r="EJ10" i="6"/>
  <c r="EK10" i="6"/>
  <c r="EL10" i="6"/>
  <c r="EM10" i="6"/>
  <c r="EN10" i="6"/>
  <c r="EO10" i="6"/>
  <c r="EP10" i="6"/>
  <c r="EQ10" i="6"/>
  <c r="ER10" i="6"/>
  <c r="ES10" i="6"/>
  <c r="ET10" i="6"/>
  <c r="EU10" i="6"/>
  <c r="EV10" i="6"/>
  <c r="EW10" i="6"/>
  <c r="EX10" i="6"/>
  <c r="EY10" i="6"/>
  <c r="EZ10" i="6"/>
  <c r="FA10" i="6"/>
  <c r="FB10" i="6"/>
  <c r="FC10" i="6"/>
  <c r="FD10" i="6"/>
  <c r="FE10" i="6"/>
  <c r="FF10" i="6"/>
  <c r="FG10" i="6"/>
  <c r="FH10" i="6"/>
  <c r="FI10" i="6"/>
  <c r="FJ10" i="6"/>
  <c r="FK10" i="6"/>
  <c r="FL10" i="6"/>
  <c r="FM10" i="6"/>
  <c r="FN10" i="6"/>
  <c r="FO10" i="6"/>
  <c r="FP10" i="6"/>
  <c r="FQ10" i="6"/>
  <c r="FR10" i="6"/>
  <c r="FS10" i="6"/>
  <c r="FT10" i="6"/>
  <c r="FU10" i="6"/>
  <c r="FV10" i="6"/>
  <c r="FW10" i="6"/>
  <c r="FX10" i="6"/>
  <c r="FY10" i="6"/>
  <c r="FZ10" i="6"/>
  <c r="GA10" i="6"/>
  <c r="GB10" i="6"/>
  <c r="GC10" i="6"/>
  <c r="GD10" i="6"/>
  <c r="GE10" i="6"/>
  <c r="GF10" i="6"/>
  <c r="GG10" i="6"/>
  <c r="GH10" i="6"/>
  <c r="GI10" i="6"/>
  <c r="GJ10" i="6"/>
  <c r="GK10" i="6"/>
  <c r="GL10" i="6"/>
  <c r="GM10" i="6"/>
  <c r="GN10" i="6"/>
  <c r="GO10" i="6"/>
  <c r="GP10" i="6"/>
  <c r="GQ10" i="6"/>
  <c r="GR10" i="6"/>
  <c r="GS10" i="6"/>
  <c r="GT10" i="6"/>
  <c r="GU10" i="6"/>
  <c r="GV10" i="6"/>
  <c r="GW10" i="6"/>
  <c r="GX10" i="6"/>
  <c r="GY10" i="6"/>
  <c r="GZ10" i="6"/>
  <c r="HA10" i="6"/>
  <c r="HD10" i="6"/>
  <c r="HE10" i="6"/>
  <c r="HH10" i="6"/>
  <c r="HI10" i="6"/>
  <c r="HJ10" i="6"/>
  <c r="HK10" i="6"/>
  <c r="HL10" i="6"/>
  <c r="HN10" i="6"/>
  <c r="HO10" i="6"/>
  <c r="HP10" i="6"/>
  <c r="HQ10" i="6"/>
  <c r="HR10" i="6"/>
  <c r="HS10" i="6"/>
  <c r="HT10" i="6"/>
  <c r="HU10" i="6"/>
  <c r="HV10" i="6"/>
  <c r="HW10" i="6"/>
  <c r="HX10" i="6"/>
  <c r="HY10" i="6"/>
  <c r="HZ10" i="6"/>
  <c r="IA10" i="6"/>
  <c r="IB10" i="6"/>
  <c r="IC10" i="6"/>
  <c r="ID10" i="6"/>
  <c r="IE10" i="6"/>
  <c r="IF10" i="6"/>
  <c r="IG10" i="6"/>
  <c r="IH10" i="6"/>
  <c r="II10" i="6"/>
  <c r="IJ10" i="6"/>
  <c r="IK10" i="6"/>
  <c r="IL10" i="6"/>
  <c r="IM10" i="6"/>
  <c r="IN10" i="6"/>
  <c r="IO10" i="6"/>
  <c r="IP10" i="6"/>
  <c r="IQ10" i="6"/>
  <c r="IR10" i="6"/>
  <c r="IS10" i="6"/>
  <c r="IT10" i="6"/>
  <c r="IU10" i="6"/>
  <c r="IV10" i="6"/>
  <c r="A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AO9" i="6"/>
  <c r="AP9" i="6"/>
  <c r="AQ9" i="6"/>
  <c r="AR9" i="6"/>
  <c r="AS9" i="6"/>
  <c r="AT9" i="6"/>
  <c r="AU9" i="6"/>
  <c r="AV9" i="6"/>
  <c r="AW9" i="6"/>
  <c r="AX9" i="6"/>
  <c r="AY9" i="6"/>
  <c r="AZ9" i="6"/>
  <c r="BA9" i="6"/>
  <c r="BB9" i="6"/>
  <c r="BC9" i="6"/>
  <c r="BD9" i="6"/>
  <c r="BE9" i="6"/>
  <c r="BF9" i="6"/>
  <c r="BG9" i="6"/>
  <c r="BH9" i="6"/>
  <c r="BI9" i="6"/>
  <c r="BJ9" i="6"/>
  <c r="BK9" i="6"/>
  <c r="BL9" i="6"/>
  <c r="BM9" i="6"/>
  <c r="BN9" i="6"/>
  <c r="BO9" i="6"/>
  <c r="BP9" i="6"/>
  <c r="BQ9" i="6"/>
  <c r="BR9" i="6"/>
  <c r="BS9" i="6"/>
  <c r="BT9" i="6"/>
  <c r="BU9" i="6"/>
  <c r="BV9" i="6"/>
  <c r="BW9" i="6"/>
  <c r="BX9" i="6"/>
  <c r="BY9" i="6"/>
  <c r="BZ9" i="6"/>
  <c r="CA9" i="6"/>
  <c r="CB9" i="6"/>
  <c r="CC9" i="6"/>
  <c r="CD9" i="6"/>
  <c r="CE9" i="6"/>
  <c r="CF9" i="6"/>
  <c r="CG9" i="6"/>
  <c r="CH9" i="6"/>
  <c r="CI9" i="6"/>
  <c r="CJ9" i="6"/>
  <c r="CK9" i="6"/>
  <c r="CL9" i="6"/>
  <c r="CM9" i="6"/>
  <c r="CN9" i="6"/>
  <c r="CO9" i="6"/>
  <c r="CP9" i="6"/>
  <c r="CQ9" i="6"/>
  <c r="CR9" i="6"/>
  <c r="CS9" i="6"/>
  <c r="CT9" i="6"/>
  <c r="CU9" i="6"/>
  <c r="CV9" i="6"/>
  <c r="CW9" i="6"/>
  <c r="CX9" i="6"/>
  <c r="CY9" i="6"/>
  <c r="CZ9" i="6"/>
  <c r="DA9" i="6"/>
  <c r="DB9" i="6"/>
  <c r="DC9" i="6"/>
  <c r="DD9" i="6"/>
  <c r="DE9" i="6"/>
  <c r="DF9" i="6"/>
  <c r="DG9" i="6"/>
  <c r="DH9" i="6"/>
  <c r="DI9" i="6"/>
  <c r="DJ9" i="6"/>
  <c r="DK9" i="6"/>
  <c r="DL9" i="6"/>
  <c r="DM9" i="6"/>
  <c r="DN9" i="6"/>
  <c r="DO9" i="6"/>
  <c r="DP9" i="6"/>
  <c r="DQ9" i="6"/>
  <c r="DR9" i="6"/>
  <c r="DS9" i="6"/>
  <c r="DT9" i="6"/>
  <c r="DU9" i="6"/>
  <c r="DV9" i="6"/>
  <c r="DW9" i="6"/>
  <c r="DX9" i="6"/>
  <c r="DY9" i="6"/>
  <c r="DZ9" i="6"/>
  <c r="EA9" i="6"/>
  <c r="EB9" i="6"/>
  <c r="EC9" i="6"/>
  <c r="ED9" i="6"/>
  <c r="EE9" i="6"/>
  <c r="EF9" i="6"/>
  <c r="EG9" i="6"/>
  <c r="EH9" i="6"/>
  <c r="EI9" i="6"/>
  <c r="EJ9" i="6"/>
  <c r="EK9" i="6"/>
  <c r="EL9" i="6"/>
  <c r="EM9" i="6"/>
  <c r="EN9" i="6"/>
  <c r="EO9" i="6"/>
  <c r="EP9" i="6"/>
  <c r="EQ9" i="6"/>
  <c r="ER9" i="6"/>
  <c r="ES9" i="6"/>
  <c r="ET9" i="6"/>
  <c r="EU9" i="6"/>
  <c r="EV9" i="6"/>
  <c r="EW9" i="6"/>
  <c r="EX9" i="6"/>
  <c r="EY9" i="6"/>
  <c r="EZ9" i="6"/>
  <c r="FA9" i="6"/>
  <c r="FB9" i="6"/>
  <c r="FC9" i="6"/>
  <c r="FD9" i="6"/>
  <c r="FE9" i="6"/>
  <c r="FF9" i="6"/>
  <c r="FG9" i="6"/>
  <c r="FH9" i="6"/>
  <c r="FI9" i="6"/>
  <c r="FJ9" i="6"/>
  <c r="FK9" i="6"/>
  <c r="FL9" i="6"/>
  <c r="FM9" i="6"/>
  <c r="FN9" i="6"/>
  <c r="FO9" i="6"/>
  <c r="FP9" i="6"/>
  <c r="FQ9" i="6"/>
  <c r="FR9" i="6"/>
  <c r="FS9" i="6"/>
  <c r="FT9" i="6"/>
  <c r="FU9" i="6"/>
  <c r="FV9" i="6"/>
  <c r="FW9" i="6"/>
  <c r="FX9" i="6"/>
  <c r="FY9" i="6"/>
  <c r="FZ9" i="6"/>
  <c r="GA9" i="6"/>
  <c r="GB9" i="6"/>
  <c r="GC9" i="6"/>
  <c r="GD9" i="6"/>
  <c r="GE9" i="6"/>
  <c r="GF9" i="6"/>
  <c r="GG9" i="6"/>
  <c r="GH9" i="6"/>
  <c r="GI9" i="6"/>
  <c r="GJ9" i="6"/>
  <c r="GK9" i="6"/>
  <c r="GL9" i="6"/>
  <c r="GM9" i="6"/>
  <c r="GN9" i="6"/>
  <c r="GO9" i="6"/>
  <c r="GP9" i="6"/>
  <c r="GQ9" i="6"/>
  <c r="GR9" i="6"/>
  <c r="GS9" i="6"/>
  <c r="GT9" i="6"/>
  <c r="GU9" i="6"/>
  <c r="GV9" i="6"/>
  <c r="GW9" i="6"/>
  <c r="GX9" i="6"/>
  <c r="GY9" i="6"/>
  <c r="GZ9" i="6"/>
  <c r="HA9" i="6"/>
  <c r="HB9" i="6"/>
  <c r="HC9" i="6"/>
  <c r="HD9" i="6"/>
  <c r="HE9" i="6"/>
  <c r="HF9" i="6"/>
  <c r="HG9" i="6"/>
  <c r="HH9" i="6"/>
  <c r="HI9" i="6"/>
  <c r="HJ9" i="6"/>
  <c r="HK9" i="6"/>
  <c r="HL9" i="6"/>
  <c r="HM9" i="6"/>
  <c r="HN9" i="6"/>
  <c r="HO9" i="6"/>
  <c r="HP9" i="6"/>
  <c r="HQ9" i="6"/>
  <c r="HR9" i="6"/>
  <c r="HS9" i="6"/>
  <c r="HT9" i="6"/>
  <c r="HU9" i="6"/>
  <c r="HV9" i="6"/>
  <c r="HW9" i="6"/>
  <c r="HX9" i="6"/>
  <c r="HY9" i="6"/>
  <c r="HZ9" i="6"/>
  <c r="IA9" i="6"/>
  <c r="IB9" i="6"/>
  <c r="IC9" i="6"/>
  <c r="ID9" i="6"/>
  <c r="IE9" i="6"/>
  <c r="IF9" i="6"/>
  <c r="IG9" i="6"/>
  <c r="IH9" i="6"/>
  <c r="II9" i="6"/>
  <c r="IJ9" i="6"/>
  <c r="IS9" i="6"/>
  <c r="IT9" i="6"/>
  <c r="A8" i="6"/>
  <c r="B8" i="6"/>
  <c r="C8" i="6"/>
  <c r="D8" i="6"/>
  <c r="E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AO8" i="6"/>
  <c r="AP8" i="6"/>
  <c r="AQ8" i="6"/>
  <c r="AR8" i="6"/>
  <c r="AS8" i="6"/>
  <c r="AT8" i="6"/>
  <c r="AU8" i="6"/>
  <c r="AV8" i="6"/>
  <c r="AW8" i="6"/>
  <c r="AX8" i="6"/>
  <c r="AY8" i="6"/>
  <c r="AZ8" i="6"/>
  <c r="BA8" i="6"/>
  <c r="BB8" i="6"/>
  <c r="BC8" i="6"/>
  <c r="BD8" i="6"/>
  <c r="BE8" i="6"/>
  <c r="BF8" i="6"/>
  <c r="BG8" i="6"/>
  <c r="BH8" i="6"/>
  <c r="BI8" i="6"/>
  <c r="BJ8" i="6"/>
  <c r="BK8" i="6"/>
  <c r="BL8" i="6"/>
  <c r="BM8" i="6"/>
  <c r="BN8" i="6"/>
  <c r="BO8" i="6"/>
  <c r="BP8" i="6"/>
  <c r="BQ8" i="6"/>
  <c r="BR8" i="6"/>
  <c r="BS8" i="6"/>
  <c r="BT8" i="6"/>
  <c r="BU8" i="6"/>
  <c r="BV8" i="6"/>
  <c r="BW8" i="6"/>
  <c r="BX8" i="6"/>
  <c r="BY8" i="6"/>
  <c r="BZ8" i="6"/>
  <c r="CA8" i="6"/>
  <c r="CB8" i="6"/>
  <c r="CC8" i="6"/>
  <c r="CD8" i="6"/>
  <c r="CE8" i="6"/>
  <c r="CF8" i="6"/>
  <c r="CG8" i="6"/>
  <c r="CH8" i="6"/>
  <c r="CI8" i="6"/>
  <c r="CJ8" i="6"/>
  <c r="CK8" i="6"/>
  <c r="CL8" i="6"/>
  <c r="CM8" i="6"/>
  <c r="CN8" i="6"/>
  <c r="CO8" i="6"/>
  <c r="CP8" i="6"/>
  <c r="CQ8" i="6"/>
  <c r="CR8" i="6"/>
  <c r="CS8" i="6"/>
  <c r="CT8" i="6"/>
  <c r="CU8" i="6"/>
  <c r="CV8" i="6"/>
  <c r="CW8" i="6"/>
  <c r="CX8" i="6"/>
  <c r="CY8" i="6"/>
  <c r="CZ8" i="6"/>
  <c r="DA8" i="6"/>
  <c r="DB8" i="6"/>
  <c r="DC8" i="6"/>
  <c r="DD8" i="6"/>
  <c r="DE8" i="6"/>
  <c r="DF8" i="6"/>
  <c r="DG8" i="6"/>
  <c r="DH8" i="6"/>
  <c r="DI8" i="6"/>
  <c r="DJ8" i="6"/>
  <c r="DK8" i="6"/>
  <c r="DL8" i="6"/>
  <c r="DM8" i="6"/>
  <c r="DN8" i="6"/>
  <c r="DO8" i="6"/>
  <c r="DP8" i="6"/>
  <c r="DQ8" i="6"/>
  <c r="DR8" i="6"/>
  <c r="DS8" i="6"/>
  <c r="DT8" i="6"/>
  <c r="DU8" i="6"/>
  <c r="DV8" i="6"/>
  <c r="DW8" i="6"/>
  <c r="DX8" i="6"/>
  <c r="DY8" i="6"/>
  <c r="DZ8" i="6"/>
  <c r="EA8" i="6"/>
  <c r="EB8" i="6"/>
  <c r="EC8" i="6"/>
  <c r="ED8" i="6"/>
  <c r="EE8" i="6"/>
  <c r="EF8" i="6"/>
  <c r="EG8" i="6"/>
  <c r="EH8" i="6"/>
  <c r="EI8" i="6"/>
  <c r="EJ8" i="6"/>
  <c r="EK8" i="6"/>
  <c r="EL8" i="6"/>
  <c r="EM8" i="6"/>
  <c r="EN8" i="6"/>
  <c r="EO8" i="6"/>
  <c r="EP8" i="6"/>
  <c r="EQ8" i="6"/>
  <c r="ER8" i="6"/>
  <c r="ES8" i="6"/>
  <c r="ET8" i="6"/>
  <c r="EU8" i="6"/>
  <c r="EV8" i="6"/>
  <c r="EW8" i="6"/>
  <c r="EX8" i="6"/>
  <c r="EY8" i="6"/>
  <c r="EZ8" i="6"/>
  <c r="FA8" i="6"/>
  <c r="FB8" i="6"/>
  <c r="FC8" i="6"/>
  <c r="FD8" i="6"/>
  <c r="FE8" i="6"/>
  <c r="FF8" i="6"/>
  <c r="FG8" i="6"/>
  <c r="FH8" i="6"/>
  <c r="FI8" i="6"/>
  <c r="FJ8" i="6"/>
  <c r="FK8" i="6"/>
  <c r="FL8" i="6"/>
  <c r="FM8" i="6"/>
  <c r="FN8" i="6"/>
  <c r="FO8" i="6"/>
  <c r="FP8" i="6"/>
  <c r="FQ8" i="6"/>
  <c r="FR8" i="6"/>
  <c r="FS8" i="6"/>
  <c r="FT8" i="6"/>
  <c r="FU8" i="6"/>
  <c r="FV8" i="6"/>
  <c r="FW8" i="6"/>
  <c r="FX8" i="6"/>
  <c r="FY8" i="6"/>
  <c r="FZ8" i="6"/>
  <c r="GA8" i="6"/>
  <c r="GB8" i="6"/>
  <c r="GC8" i="6"/>
  <c r="GD8" i="6"/>
  <c r="GE8" i="6"/>
  <c r="GF8" i="6"/>
  <c r="GG8" i="6"/>
  <c r="GH8" i="6"/>
  <c r="GI8" i="6"/>
  <c r="GJ8" i="6"/>
  <c r="GK8" i="6"/>
  <c r="GL8" i="6"/>
  <c r="GM8" i="6"/>
  <c r="GN8" i="6"/>
  <c r="GO8" i="6"/>
  <c r="GP8" i="6"/>
  <c r="GQ8" i="6"/>
  <c r="GR8" i="6"/>
  <c r="GS8" i="6"/>
  <c r="GT8" i="6"/>
  <c r="GU8" i="6"/>
  <c r="GV8" i="6"/>
  <c r="GW8" i="6"/>
  <c r="GX8" i="6"/>
  <c r="GY8" i="6"/>
  <c r="GZ8" i="6"/>
  <c r="HA8" i="6"/>
  <c r="HB8" i="6"/>
  <c r="HC8" i="6"/>
  <c r="HD8" i="6"/>
  <c r="HE8" i="6"/>
  <c r="HF8" i="6"/>
  <c r="HG8" i="6"/>
  <c r="HH8" i="6"/>
  <c r="HI8" i="6"/>
  <c r="HJ8" i="6"/>
  <c r="HK8" i="6"/>
  <c r="HL8" i="6"/>
  <c r="HM8" i="6"/>
  <c r="HN8" i="6"/>
  <c r="HO8" i="6"/>
  <c r="HP8" i="6"/>
  <c r="HQ8" i="6"/>
  <c r="HR8" i="6"/>
  <c r="HS8" i="6"/>
  <c r="HT8" i="6"/>
  <c r="HU8" i="6"/>
  <c r="HV8" i="6"/>
  <c r="HW8" i="6"/>
  <c r="HX8" i="6"/>
  <c r="HY8" i="6"/>
  <c r="HZ8" i="6"/>
  <c r="IA8" i="6"/>
  <c r="IB8" i="6"/>
  <c r="IC8" i="6"/>
  <c r="ID8" i="6"/>
  <c r="IE8" i="6"/>
  <c r="IF8" i="6"/>
  <c r="IG8" i="6"/>
  <c r="IH8" i="6"/>
  <c r="II8" i="6"/>
  <c r="IJ8" i="6"/>
  <c r="IK8" i="6"/>
  <c r="IL8" i="6"/>
  <c r="IM8" i="6"/>
  <c r="IN8" i="6"/>
  <c r="IO8" i="6"/>
  <c r="IP8" i="6"/>
  <c r="IQ8" i="6"/>
  <c r="IR8" i="6"/>
  <c r="IS8" i="6"/>
  <c r="IT8" i="6"/>
  <c r="IU8" i="6"/>
  <c r="IV8" i="6"/>
  <c r="A7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AO7" i="6"/>
  <c r="AP7" i="6"/>
  <c r="AQ7" i="6"/>
  <c r="AR7" i="6"/>
  <c r="AS7" i="6"/>
  <c r="AT7" i="6"/>
  <c r="AU7" i="6"/>
  <c r="AV7" i="6"/>
  <c r="AW7" i="6"/>
  <c r="AX7" i="6"/>
  <c r="AY7" i="6"/>
  <c r="AZ7" i="6"/>
  <c r="BA7" i="6"/>
  <c r="BB7" i="6"/>
  <c r="BC7" i="6"/>
  <c r="BD7" i="6"/>
  <c r="BE7" i="6"/>
  <c r="BF7" i="6"/>
  <c r="BG7" i="6"/>
  <c r="BH7" i="6"/>
  <c r="BI7" i="6"/>
  <c r="BJ7" i="6"/>
  <c r="BK7" i="6"/>
  <c r="BL7" i="6"/>
  <c r="BM7" i="6"/>
  <c r="BN7" i="6"/>
  <c r="BO7" i="6"/>
  <c r="BP7" i="6"/>
  <c r="BQ7" i="6"/>
  <c r="BR7" i="6"/>
  <c r="BS7" i="6"/>
  <c r="BT7" i="6"/>
  <c r="BU7" i="6"/>
  <c r="BV7" i="6"/>
  <c r="BW7" i="6"/>
  <c r="BX7" i="6"/>
  <c r="BY7" i="6"/>
  <c r="BZ7" i="6"/>
  <c r="CA7" i="6"/>
  <c r="CB7" i="6"/>
  <c r="CC7" i="6"/>
  <c r="CD7" i="6"/>
  <c r="CE7" i="6"/>
  <c r="CF7" i="6"/>
  <c r="CG7" i="6"/>
  <c r="CH7" i="6"/>
  <c r="CI7" i="6"/>
  <c r="CJ7" i="6"/>
  <c r="CK7" i="6"/>
  <c r="CL7" i="6"/>
  <c r="CM7" i="6"/>
  <c r="CN7" i="6"/>
  <c r="CO7" i="6"/>
  <c r="CP7" i="6"/>
  <c r="CQ7" i="6"/>
  <c r="CR7" i="6"/>
  <c r="CS7" i="6"/>
  <c r="CT7" i="6"/>
  <c r="CU7" i="6"/>
  <c r="CV7" i="6"/>
  <c r="CW7" i="6"/>
  <c r="CX7" i="6"/>
  <c r="CY7" i="6"/>
  <c r="CZ7" i="6"/>
  <c r="DA7" i="6"/>
  <c r="DB7" i="6"/>
  <c r="DC7" i="6"/>
  <c r="DD7" i="6"/>
  <c r="DE7" i="6"/>
  <c r="DF7" i="6"/>
  <c r="DG7" i="6"/>
  <c r="DH7" i="6"/>
  <c r="DI7" i="6"/>
  <c r="DJ7" i="6"/>
  <c r="DK7" i="6"/>
  <c r="DL7" i="6"/>
  <c r="DM7" i="6"/>
  <c r="DN7" i="6"/>
  <c r="DO7" i="6"/>
  <c r="DP7" i="6"/>
  <c r="DQ7" i="6"/>
  <c r="DR7" i="6"/>
  <c r="DS7" i="6"/>
  <c r="DT7" i="6"/>
  <c r="DU7" i="6"/>
  <c r="DV7" i="6"/>
  <c r="DW7" i="6"/>
  <c r="DX7" i="6"/>
  <c r="DY7" i="6"/>
  <c r="DZ7" i="6"/>
  <c r="EA7" i="6"/>
  <c r="EB7" i="6"/>
  <c r="EC7" i="6"/>
  <c r="ED7" i="6"/>
  <c r="EE7" i="6"/>
  <c r="EF7" i="6"/>
  <c r="EG7" i="6"/>
  <c r="EH7" i="6"/>
  <c r="EI7" i="6"/>
  <c r="EJ7" i="6"/>
  <c r="EK7" i="6"/>
  <c r="EL7" i="6"/>
  <c r="EM7" i="6"/>
  <c r="EN7" i="6"/>
  <c r="EO7" i="6"/>
  <c r="EP7" i="6"/>
  <c r="EQ7" i="6"/>
  <c r="ER7" i="6"/>
  <c r="ES7" i="6"/>
  <c r="ET7" i="6"/>
  <c r="EU7" i="6"/>
  <c r="EV7" i="6"/>
  <c r="EW7" i="6"/>
  <c r="EX7" i="6"/>
  <c r="EY7" i="6"/>
  <c r="EZ7" i="6"/>
  <c r="FA7" i="6"/>
  <c r="FB7" i="6"/>
  <c r="FC7" i="6"/>
  <c r="FD7" i="6"/>
  <c r="FE7" i="6"/>
  <c r="FF7" i="6"/>
  <c r="FG7" i="6"/>
  <c r="FH7" i="6"/>
  <c r="FI7" i="6"/>
  <c r="FJ7" i="6"/>
  <c r="FK7" i="6"/>
  <c r="FL7" i="6"/>
  <c r="FM7" i="6"/>
  <c r="FN7" i="6"/>
  <c r="FO7" i="6"/>
  <c r="FP7" i="6"/>
  <c r="FQ7" i="6"/>
  <c r="FR7" i="6"/>
  <c r="FS7" i="6"/>
  <c r="FT7" i="6"/>
  <c r="FU7" i="6"/>
  <c r="FV7" i="6"/>
  <c r="FW7" i="6"/>
  <c r="FX7" i="6"/>
  <c r="FY7" i="6"/>
  <c r="FZ7" i="6"/>
  <c r="GA7" i="6"/>
  <c r="GB7" i="6"/>
  <c r="GC7" i="6"/>
  <c r="GD7" i="6"/>
  <c r="GE7" i="6"/>
  <c r="GF7" i="6"/>
  <c r="GG7" i="6"/>
  <c r="GH7" i="6"/>
  <c r="GI7" i="6"/>
  <c r="GJ7" i="6"/>
  <c r="GK7" i="6"/>
  <c r="GL7" i="6"/>
  <c r="GM7" i="6"/>
  <c r="GN7" i="6"/>
  <c r="GO7" i="6"/>
  <c r="GP7" i="6"/>
  <c r="GQ7" i="6"/>
  <c r="GR7" i="6"/>
  <c r="GS7" i="6"/>
  <c r="GT7" i="6"/>
  <c r="GU7" i="6"/>
  <c r="GV7" i="6"/>
  <c r="GW7" i="6"/>
  <c r="GX7" i="6"/>
  <c r="GY7" i="6"/>
  <c r="GZ7" i="6"/>
  <c r="HA7" i="6"/>
  <c r="HB7" i="6"/>
  <c r="HC7" i="6"/>
  <c r="HD7" i="6"/>
  <c r="HE7" i="6"/>
  <c r="HF7" i="6"/>
  <c r="HG7" i="6"/>
  <c r="HH7" i="6"/>
  <c r="HI7" i="6"/>
  <c r="HJ7" i="6"/>
  <c r="HK7" i="6"/>
  <c r="HL7" i="6"/>
  <c r="HM7" i="6"/>
  <c r="HN7" i="6"/>
  <c r="HO7" i="6"/>
  <c r="HP7" i="6"/>
  <c r="HQ7" i="6"/>
  <c r="HR7" i="6"/>
  <c r="HS7" i="6"/>
  <c r="HT7" i="6"/>
  <c r="HU7" i="6"/>
  <c r="HV7" i="6"/>
  <c r="HW7" i="6"/>
  <c r="HX7" i="6"/>
  <c r="HY7" i="6"/>
  <c r="HZ7" i="6"/>
  <c r="IA7" i="6"/>
  <c r="IB7" i="6"/>
  <c r="IC7" i="6"/>
  <c r="ID7" i="6"/>
  <c r="IE7" i="6"/>
  <c r="IF7" i="6"/>
  <c r="IG7" i="6"/>
  <c r="IH7" i="6"/>
  <c r="II7" i="6"/>
  <c r="IJ7" i="6"/>
  <c r="IK7" i="6"/>
  <c r="IL7" i="6"/>
  <c r="IM7" i="6"/>
  <c r="IN7" i="6"/>
  <c r="IO7" i="6"/>
  <c r="IP7" i="6"/>
  <c r="IQ7" i="6"/>
  <c r="IR7" i="6"/>
  <c r="IS7" i="6"/>
  <c r="IT7" i="6"/>
  <c r="IU7" i="6"/>
  <c r="IV7" i="6"/>
  <c r="A6" i="6"/>
  <c r="B6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N6" i="6"/>
  <c r="AO6" i="6"/>
  <c r="AP6" i="6"/>
  <c r="AQ6" i="6"/>
  <c r="AR6" i="6"/>
  <c r="AS6" i="6"/>
  <c r="AT6" i="6"/>
  <c r="AU6" i="6"/>
  <c r="AV6" i="6"/>
  <c r="AW6" i="6"/>
  <c r="AX6" i="6"/>
  <c r="AY6" i="6"/>
  <c r="AZ6" i="6"/>
  <c r="BA6" i="6"/>
  <c r="BB6" i="6"/>
  <c r="BC6" i="6"/>
  <c r="BD6" i="6"/>
  <c r="BE6" i="6"/>
  <c r="BF6" i="6"/>
  <c r="BG6" i="6"/>
  <c r="BH6" i="6"/>
  <c r="BI6" i="6"/>
  <c r="BJ6" i="6"/>
  <c r="BK6" i="6"/>
  <c r="BL6" i="6"/>
  <c r="BM6" i="6"/>
  <c r="BN6" i="6"/>
  <c r="BO6" i="6"/>
  <c r="BP6" i="6"/>
  <c r="BQ6" i="6"/>
  <c r="BR6" i="6"/>
  <c r="BS6" i="6"/>
  <c r="BT6" i="6"/>
  <c r="BU6" i="6"/>
  <c r="BV6" i="6"/>
  <c r="BW6" i="6"/>
  <c r="BX6" i="6"/>
  <c r="BY6" i="6"/>
  <c r="BZ6" i="6"/>
  <c r="CA6" i="6"/>
  <c r="CB6" i="6"/>
  <c r="CC6" i="6"/>
  <c r="CD6" i="6"/>
  <c r="CE6" i="6"/>
  <c r="CF6" i="6"/>
  <c r="CG6" i="6"/>
  <c r="CH6" i="6"/>
  <c r="CI6" i="6"/>
  <c r="CJ6" i="6"/>
  <c r="CK6" i="6"/>
  <c r="CL6" i="6"/>
  <c r="CM6" i="6"/>
  <c r="CN6" i="6"/>
  <c r="CO6" i="6"/>
  <c r="CP6" i="6"/>
  <c r="CQ6" i="6"/>
  <c r="CR6" i="6"/>
  <c r="CS6" i="6"/>
  <c r="CT6" i="6"/>
  <c r="CU6" i="6"/>
  <c r="CV6" i="6"/>
  <c r="CW6" i="6"/>
  <c r="CX6" i="6"/>
  <c r="CY6" i="6"/>
  <c r="CZ6" i="6"/>
  <c r="DA6" i="6"/>
  <c r="DB6" i="6"/>
  <c r="DC6" i="6"/>
  <c r="DD6" i="6"/>
  <c r="DE6" i="6"/>
  <c r="DF6" i="6"/>
  <c r="DG6" i="6"/>
  <c r="DH6" i="6"/>
  <c r="DI6" i="6"/>
  <c r="DJ6" i="6"/>
  <c r="DK6" i="6"/>
  <c r="DL6" i="6"/>
  <c r="DM6" i="6"/>
  <c r="DN6" i="6"/>
  <c r="DO6" i="6"/>
  <c r="DP6" i="6"/>
  <c r="DQ6" i="6"/>
  <c r="DR6" i="6"/>
  <c r="DS6" i="6"/>
  <c r="DT6" i="6"/>
  <c r="DU6" i="6"/>
  <c r="DV6" i="6"/>
  <c r="DW6" i="6"/>
  <c r="DX6" i="6"/>
  <c r="DY6" i="6"/>
  <c r="DZ6" i="6"/>
  <c r="EA6" i="6"/>
  <c r="EB6" i="6"/>
  <c r="EC6" i="6"/>
  <c r="ED6" i="6"/>
  <c r="EE6" i="6"/>
  <c r="EF6" i="6"/>
  <c r="EG6" i="6"/>
  <c r="EH6" i="6"/>
  <c r="EI6" i="6"/>
  <c r="EJ6" i="6"/>
  <c r="EK6" i="6"/>
  <c r="EL6" i="6"/>
  <c r="EM6" i="6"/>
  <c r="EN6" i="6"/>
  <c r="EO6" i="6"/>
  <c r="EP6" i="6"/>
  <c r="EQ6" i="6"/>
  <c r="ER6" i="6"/>
  <c r="ES6" i="6"/>
  <c r="ET6" i="6"/>
  <c r="EU6" i="6"/>
  <c r="EV6" i="6"/>
  <c r="EW6" i="6"/>
  <c r="EX6" i="6"/>
  <c r="EY6" i="6"/>
  <c r="EZ6" i="6"/>
  <c r="FA6" i="6"/>
  <c r="FB6" i="6"/>
  <c r="FC6" i="6"/>
  <c r="FD6" i="6"/>
  <c r="FE6" i="6"/>
  <c r="FF6" i="6"/>
  <c r="FG6" i="6"/>
  <c r="FH6" i="6"/>
  <c r="FI6" i="6"/>
  <c r="FJ6" i="6"/>
  <c r="FK6" i="6"/>
  <c r="FL6" i="6"/>
  <c r="FM6" i="6"/>
  <c r="FN6" i="6"/>
  <c r="FO6" i="6"/>
  <c r="FP6" i="6"/>
  <c r="FQ6" i="6"/>
  <c r="FR6" i="6"/>
  <c r="FS6" i="6"/>
  <c r="FT6" i="6"/>
  <c r="FU6" i="6"/>
  <c r="FV6" i="6"/>
  <c r="FW6" i="6"/>
  <c r="FX6" i="6"/>
  <c r="FY6" i="6"/>
  <c r="FZ6" i="6"/>
  <c r="GA6" i="6"/>
  <c r="GB6" i="6"/>
  <c r="GC6" i="6"/>
  <c r="GD6" i="6"/>
  <c r="GE6" i="6"/>
  <c r="GF6" i="6"/>
  <c r="GG6" i="6"/>
  <c r="GH6" i="6"/>
  <c r="GI6" i="6"/>
  <c r="GJ6" i="6"/>
  <c r="GK6" i="6"/>
  <c r="GL6" i="6"/>
  <c r="GM6" i="6"/>
  <c r="GN6" i="6"/>
  <c r="GO6" i="6"/>
  <c r="GP6" i="6"/>
  <c r="GQ6" i="6"/>
  <c r="GR6" i="6"/>
  <c r="GS6" i="6"/>
  <c r="GT6" i="6"/>
  <c r="GU6" i="6"/>
  <c r="GV6" i="6"/>
  <c r="GW6" i="6"/>
  <c r="GX6" i="6"/>
  <c r="GY6" i="6"/>
  <c r="GZ6" i="6"/>
  <c r="HA6" i="6"/>
  <c r="HB6" i="6"/>
  <c r="HC6" i="6"/>
  <c r="HD6" i="6"/>
  <c r="HE6" i="6"/>
  <c r="HF6" i="6"/>
  <c r="HG6" i="6"/>
  <c r="HH6" i="6"/>
  <c r="HI6" i="6"/>
  <c r="HJ6" i="6"/>
  <c r="HK6" i="6"/>
  <c r="HL6" i="6"/>
  <c r="HM6" i="6"/>
  <c r="HN6" i="6"/>
  <c r="HO6" i="6"/>
  <c r="HP6" i="6"/>
  <c r="HQ6" i="6"/>
  <c r="HR6" i="6"/>
  <c r="HS6" i="6"/>
  <c r="HT6" i="6"/>
  <c r="HU6" i="6"/>
  <c r="HV6" i="6"/>
  <c r="HW6" i="6"/>
  <c r="HX6" i="6"/>
  <c r="HY6" i="6"/>
  <c r="HZ6" i="6"/>
  <c r="IA6" i="6"/>
  <c r="IB6" i="6"/>
  <c r="IC6" i="6"/>
  <c r="ID6" i="6"/>
  <c r="IE6" i="6"/>
  <c r="IF6" i="6"/>
  <c r="IG6" i="6"/>
  <c r="IH6" i="6"/>
  <c r="II6" i="6"/>
  <c r="IJ6" i="6"/>
  <c r="IK6" i="6"/>
  <c r="IL6" i="6"/>
  <c r="IM6" i="6"/>
  <c r="IN6" i="6"/>
  <c r="IO6" i="6"/>
  <c r="IP6" i="6"/>
  <c r="IQ6" i="6"/>
  <c r="IR6" i="6"/>
  <c r="IS6" i="6"/>
  <c r="IT6" i="6"/>
  <c r="IU6" i="6"/>
  <c r="IV6" i="6"/>
  <c r="A5" i="6"/>
  <c r="B5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AO5" i="6"/>
  <c r="AP5" i="6"/>
  <c r="AQ5" i="6"/>
  <c r="AR5" i="6"/>
  <c r="AS5" i="6"/>
  <c r="AT5" i="6"/>
  <c r="AU5" i="6"/>
  <c r="AV5" i="6"/>
  <c r="AW5" i="6"/>
  <c r="AX5" i="6"/>
  <c r="AY5" i="6"/>
  <c r="AZ5" i="6"/>
  <c r="BA5" i="6"/>
  <c r="BB5" i="6"/>
  <c r="BC5" i="6"/>
  <c r="BD5" i="6"/>
  <c r="BE5" i="6"/>
  <c r="BF5" i="6"/>
  <c r="BG5" i="6"/>
  <c r="BH5" i="6"/>
  <c r="BI5" i="6"/>
  <c r="BJ5" i="6"/>
  <c r="BK5" i="6"/>
  <c r="BL5" i="6"/>
  <c r="BM5" i="6"/>
  <c r="BN5" i="6"/>
  <c r="BO5" i="6"/>
  <c r="BP5" i="6"/>
  <c r="BQ5" i="6"/>
  <c r="BR5" i="6"/>
  <c r="BS5" i="6"/>
  <c r="BT5" i="6"/>
  <c r="BU5" i="6"/>
  <c r="BV5" i="6"/>
  <c r="BW5" i="6"/>
  <c r="BX5" i="6"/>
  <c r="BY5" i="6"/>
  <c r="BZ5" i="6"/>
  <c r="CA5" i="6"/>
  <c r="CB5" i="6"/>
  <c r="CC5" i="6"/>
  <c r="CD5" i="6"/>
  <c r="CE5" i="6"/>
  <c r="CF5" i="6"/>
  <c r="CG5" i="6"/>
  <c r="CH5" i="6"/>
  <c r="CI5" i="6"/>
  <c r="CJ5" i="6"/>
  <c r="CK5" i="6"/>
  <c r="CL5" i="6"/>
  <c r="CM5" i="6"/>
  <c r="CN5" i="6"/>
  <c r="CO5" i="6"/>
  <c r="CP5" i="6"/>
  <c r="CQ5" i="6"/>
  <c r="CR5" i="6"/>
  <c r="CS5" i="6"/>
  <c r="CT5" i="6"/>
  <c r="CU5" i="6"/>
  <c r="CV5" i="6"/>
  <c r="CW5" i="6"/>
  <c r="CX5" i="6"/>
  <c r="CY5" i="6"/>
  <c r="CZ5" i="6"/>
  <c r="DA5" i="6"/>
  <c r="DB5" i="6"/>
  <c r="DC5" i="6"/>
  <c r="DD5" i="6"/>
  <c r="DE5" i="6"/>
  <c r="DF5" i="6"/>
  <c r="DG5" i="6"/>
  <c r="DH5" i="6"/>
  <c r="DI5" i="6"/>
  <c r="DJ5" i="6"/>
  <c r="DK5" i="6"/>
  <c r="DL5" i="6"/>
  <c r="DM5" i="6"/>
  <c r="DN5" i="6"/>
  <c r="DO5" i="6"/>
  <c r="DP5" i="6"/>
  <c r="DQ5" i="6"/>
  <c r="DR5" i="6"/>
  <c r="DS5" i="6"/>
  <c r="DT5" i="6"/>
  <c r="DU5" i="6"/>
  <c r="DV5" i="6"/>
  <c r="DW5" i="6"/>
  <c r="DX5" i="6"/>
  <c r="DY5" i="6"/>
  <c r="DZ5" i="6"/>
  <c r="EA5" i="6"/>
  <c r="EB5" i="6"/>
  <c r="EC5" i="6"/>
  <c r="ED5" i="6"/>
  <c r="EE5" i="6"/>
  <c r="EF5" i="6"/>
  <c r="EG5" i="6"/>
  <c r="EH5" i="6"/>
  <c r="EI5" i="6"/>
  <c r="EJ5" i="6"/>
  <c r="EK5" i="6"/>
  <c r="EL5" i="6"/>
  <c r="EM5" i="6"/>
  <c r="EN5" i="6"/>
  <c r="EO5" i="6"/>
  <c r="EP5" i="6"/>
  <c r="EQ5" i="6"/>
  <c r="ER5" i="6"/>
  <c r="ES5" i="6"/>
  <c r="ET5" i="6"/>
  <c r="EU5" i="6"/>
  <c r="EV5" i="6"/>
  <c r="EW5" i="6"/>
  <c r="EX5" i="6"/>
  <c r="EY5" i="6"/>
  <c r="EZ5" i="6"/>
  <c r="FA5" i="6"/>
  <c r="FB5" i="6"/>
  <c r="FC5" i="6"/>
  <c r="FD5" i="6"/>
  <c r="FE5" i="6"/>
  <c r="FF5" i="6"/>
  <c r="FG5" i="6"/>
  <c r="FH5" i="6"/>
  <c r="FI5" i="6"/>
  <c r="FJ5" i="6"/>
  <c r="FK5" i="6"/>
  <c r="FL5" i="6"/>
  <c r="FM5" i="6"/>
  <c r="FN5" i="6"/>
  <c r="FO5" i="6"/>
  <c r="FP5" i="6"/>
  <c r="FQ5" i="6"/>
  <c r="FR5" i="6"/>
  <c r="FS5" i="6"/>
  <c r="FT5" i="6"/>
  <c r="FU5" i="6"/>
  <c r="FV5" i="6"/>
  <c r="FW5" i="6"/>
  <c r="FX5" i="6"/>
  <c r="FY5" i="6"/>
  <c r="FZ5" i="6"/>
  <c r="GA5" i="6"/>
  <c r="GB5" i="6"/>
  <c r="GC5" i="6"/>
  <c r="GD5" i="6"/>
  <c r="GE5" i="6"/>
  <c r="GF5" i="6"/>
  <c r="GG5" i="6"/>
  <c r="GH5" i="6"/>
  <c r="GI5" i="6"/>
  <c r="GJ5" i="6"/>
  <c r="GK5" i="6"/>
  <c r="GL5" i="6"/>
  <c r="GM5" i="6"/>
  <c r="GN5" i="6"/>
  <c r="GO5" i="6"/>
  <c r="GP5" i="6"/>
  <c r="GQ5" i="6"/>
  <c r="GR5" i="6"/>
  <c r="GS5" i="6"/>
  <c r="GT5" i="6"/>
  <c r="GU5" i="6"/>
  <c r="GV5" i="6"/>
  <c r="GW5" i="6"/>
  <c r="GX5" i="6"/>
  <c r="GY5" i="6"/>
  <c r="GZ5" i="6"/>
  <c r="HA5" i="6"/>
  <c r="HB5" i="6"/>
  <c r="HC5" i="6"/>
  <c r="HD5" i="6"/>
  <c r="HE5" i="6"/>
  <c r="HF5" i="6"/>
  <c r="HG5" i="6"/>
  <c r="HH5" i="6"/>
  <c r="HI5" i="6"/>
  <c r="HJ5" i="6"/>
  <c r="HK5" i="6"/>
  <c r="HL5" i="6"/>
  <c r="HM5" i="6"/>
  <c r="HN5" i="6"/>
  <c r="HO5" i="6"/>
  <c r="HP5" i="6"/>
  <c r="HQ5" i="6"/>
  <c r="HR5" i="6"/>
  <c r="HS5" i="6"/>
  <c r="HT5" i="6"/>
  <c r="HU5" i="6"/>
  <c r="HV5" i="6"/>
  <c r="HW5" i="6"/>
  <c r="HX5" i="6"/>
  <c r="HY5" i="6"/>
  <c r="HZ5" i="6"/>
  <c r="IA5" i="6"/>
  <c r="IB5" i="6"/>
  <c r="IC5" i="6"/>
  <c r="ID5" i="6"/>
  <c r="IE5" i="6"/>
  <c r="IF5" i="6"/>
  <c r="IG5" i="6"/>
  <c r="IH5" i="6"/>
  <c r="II5" i="6"/>
  <c r="IJ5" i="6"/>
  <c r="IK5" i="6"/>
  <c r="IL5" i="6"/>
  <c r="IM5" i="6"/>
  <c r="IN5" i="6"/>
  <c r="IO5" i="6"/>
  <c r="IP5" i="6"/>
  <c r="IQ5" i="6"/>
  <c r="IR5" i="6"/>
  <c r="IS5" i="6"/>
  <c r="IT5" i="6"/>
  <c r="IU5" i="6"/>
  <c r="IV5" i="6"/>
  <c r="A4" i="6"/>
  <c r="B4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AO4" i="6"/>
  <c r="AP4" i="6"/>
  <c r="AQ4" i="6"/>
  <c r="AR4" i="6"/>
  <c r="AS4" i="6"/>
  <c r="AT4" i="6"/>
  <c r="AU4" i="6"/>
  <c r="AV4" i="6"/>
  <c r="AW4" i="6"/>
  <c r="AX4" i="6"/>
  <c r="AY4" i="6"/>
  <c r="AZ4" i="6"/>
  <c r="BA4" i="6"/>
  <c r="BB4" i="6"/>
  <c r="BC4" i="6"/>
  <c r="BD4" i="6"/>
  <c r="BE4" i="6"/>
  <c r="BF4" i="6"/>
  <c r="BG4" i="6"/>
  <c r="BH4" i="6"/>
  <c r="BI4" i="6"/>
  <c r="BJ4" i="6"/>
  <c r="BK4" i="6"/>
  <c r="BL4" i="6"/>
  <c r="BM4" i="6"/>
  <c r="BN4" i="6"/>
  <c r="BO4" i="6"/>
  <c r="BP4" i="6"/>
  <c r="BQ4" i="6"/>
  <c r="BR4" i="6"/>
  <c r="BS4" i="6"/>
  <c r="BT4" i="6"/>
  <c r="BU4" i="6"/>
  <c r="BV4" i="6"/>
  <c r="BW4" i="6"/>
  <c r="BX4" i="6"/>
  <c r="BY4" i="6"/>
  <c r="BZ4" i="6"/>
  <c r="CA4" i="6"/>
  <c r="CB4" i="6"/>
  <c r="CC4" i="6"/>
  <c r="CD4" i="6"/>
  <c r="CE4" i="6"/>
  <c r="CF4" i="6"/>
  <c r="CG4" i="6"/>
  <c r="CH4" i="6"/>
  <c r="CI4" i="6"/>
  <c r="CJ4" i="6"/>
  <c r="CK4" i="6"/>
  <c r="CL4" i="6"/>
  <c r="CM4" i="6"/>
  <c r="CN4" i="6"/>
  <c r="CO4" i="6"/>
  <c r="CP4" i="6"/>
  <c r="CQ4" i="6"/>
  <c r="CR4" i="6"/>
  <c r="CS4" i="6"/>
  <c r="CT4" i="6"/>
  <c r="CU4" i="6"/>
  <c r="CV4" i="6"/>
  <c r="CW4" i="6"/>
  <c r="CX4" i="6"/>
  <c r="CY4" i="6"/>
  <c r="CZ4" i="6"/>
  <c r="DA4" i="6"/>
  <c r="DB4" i="6"/>
  <c r="DC4" i="6"/>
  <c r="DD4" i="6"/>
  <c r="DE4" i="6"/>
  <c r="DF4" i="6"/>
  <c r="DG4" i="6"/>
  <c r="DH4" i="6"/>
  <c r="DI4" i="6"/>
  <c r="DJ4" i="6"/>
  <c r="DK4" i="6"/>
  <c r="DL4" i="6"/>
  <c r="DM4" i="6"/>
  <c r="DN4" i="6"/>
  <c r="DO4" i="6"/>
  <c r="DP4" i="6"/>
  <c r="DQ4" i="6"/>
  <c r="DR4" i="6"/>
  <c r="DS4" i="6"/>
  <c r="DT4" i="6"/>
  <c r="DU4" i="6"/>
  <c r="DV4" i="6"/>
  <c r="DW4" i="6"/>
  <c r="DX4" i="6"/>
  <c r="DY4" i="6"/>
  <c r="DZ4" i="6"/>
  <c r="EA4" i="6"/>
  <c r="EB4" i="6"/>
  <c r="EC4" i="6"/>
  <c r="ED4" i="6"/>
  <c r="EE4" i="6"/>
  <c r="EF4" i="6"/>
  <c r="EG4" i="6"/>
  <c r="EH4" i="6"/>
  <c r="EI4" i="6"/>
  <c r="EJ4" i="6"/>
  <c r="EK4" i="6"/>
  <c r="EL4" i="6"/>
  <c r="EM4" i="6"/>
  <c r="EN4" i="6"/>
  <c r="EO4" i="6"/>
  <c r="EP4" i="6"/>
  <c r="EQ4" i="6"/>
  <c r="ER4" i="6"/>
  <c r="ES4" i="6"/>
  <c r="ET4" i="6"/>
  <c r="EU4" i="6"/>
  <c r="EV4" i="6"/>
  <c r="EW4" i="6"/>
  <c r="EX4" i="6"/>
  <c r="EY4" i="6"/>
  <c r="EZ4" i="6"/>
  <c r="FA4" i="6"/>
  <c r="FB4" i="6"/>
  <c r="FC4" i="6"/>
  <c r="FD4" i="6"/>
  <c r="FE4" i="6"/>
  <c r="FF4" i="6"/>
  <c r="FG4" i="6"/>
  <c r="FH4" i="6"/>
  <c r="FI4" i="6"/>
  <c r="FJ4" i="6"/>
  <c r="FK4" i="6"/>
  <c r="FL4" i="6"/>
  <c r="FM4" i="6"/>
  <c r="FN4" i="6"/>
  <c r="FO4" i="6"/>
  <c r="FP4" i="6"/>
  <c r="FQ4" i="6"/>
  <c r="FR4" i="6"/>
  <c r="FS4" i="6"/>
  <c r="FT4" i="6"/>
  <c r="FU4" i="6"/>
  <c r="FV4" i="6"/>
  <c r="FW4" i="6"/>
  <c r="FX4" i="6"/>
  <c r="FY4" i="6"/>
  <c r="FZ4" i="6"/>
  <c r="GA4" i="6"/>
  <c r="GB4" i="6"/>
  <c r="GC4" i="6"/>
  <c r="GD4" i="6"/>
  <c r="GE4" i="6"/>
  <c r="GF4" i="6"/>
  <c r="GG4" i="6"/>
  <c r="GH4" i="6"/>
  <c r="GI4" i="6"/>
  <c r="GJ4" i="6"/>
  <c r="GK4" i="6"/>
  <c r="GL4" i="6"/>
  <c r="GM4" i="6"/>
  <c r="GN4" i="6"/>
  <c r="GO4" i="6"/>
  <c r="GP4" i="6"/>
  <c r="GQ4" i="6"/>
  <c r="GR4" i="6"/>
  <c r="GS4" i="6"/>
  <c r="GT4" i="6"/>
  <c r="GU4" i="6"/>
  <c r="GV4" i="6"/>
  <c r="GW4" i="6"/>
  <c r="GX4" i="6"/>
  <c r="GY4" i="6"/>
  <c r="GZ4" i="6"/>
  <c r="HA4" i="6"/>
  <c r="HB4" i="6"/>
  <c r="HC4" i="6"/>
  <c r="HD4" i="6"/>
  <c r="HE4" i="6"/>
  <c r="HF4" i="6"/>
  <c r="HG4" i="6"/>
  <c r="HH4" i="6"/>
  <c r="HI4" i="6"/>
  <c r="HJ4" i="6"/>
  <c r="HK4" i="6"/>
  <c r="HL4" i="6"/>
  <c r="HM4" i="6"/>
  <c r="HN4" i="6"/>
  <c r="HO4" i="6"/>
  <c r="HP4" i="6"/>
  <c r="HQ4" i="6"/>
  <c r="HR4" i="6"/>
  <c r="HS4" i="6"/>
  <c r="HT4" i="6"/>
  <c r="HU4" i="6"/>
  <c r="HV4" i="6"/>
  <c r="HW4" i="6"/>
  <c r="HX4" i="6"/>
  <c r="HY4" i="6"/>
  <c r="HZ4" i="6"/>
  <c r="IA4" i="6"/>
  <c r="IB4" i="6"/>
  <c r="IC4" i="6"/>
  <c r="ID4" i="6"/>
  <c r="IE4" i="6"/>
  <c r="IF4" i="6"/>
  <c r="IG4" i="6"/>
  <c r="IH4" i="6"/>
  <c r="II4" i="6"/>
  <c r="IJ4" i="6"/>
  <c r="IK4" i="6"/>
  <c r="IL4" i="6"/>
  <c r="IM4" i="6"/>
  <c r="IN4" i="6"/>
  <c r="IO4" i="6"/>
  <c r="IP4" i="6"/>
  <c r="IQ4" i="6"/>
  <c r="IR4" i="6"/>
  <c r="IS4" i="6"/>
  <c r="IT4" i="6"/>
  <c r="IU4" i="6"/>
  <c r="IV4" i="6"/>
  <c r="A3" i="6"/>
  <c r="B3" i="6"/>
  <c r="C3" i="6"/>
  <c r="D3" i="6"/>
  <c r="E3" i="6"/>
  <c r="F3" i="6"/>
  <c r="G3" i="6"/>
  <c r="H3" i="6"/>
  <c r="I3" i="6"/>
  <c r="J3" i="6"/>
  <c r="K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AO3" i="6"/>
  <c r="AP3" i="6"/>
  <c r="AQ3" i="6"/>
  <c r="AR3" i="6"/>
  <c r="AS3" i="6"/>
  <c r="AT3" i="6"/>
  <c r="AU3" i="6"/>
  <c r="AV3" i="6"/>
  <c r="AW3" i="6"/>
  <c r="AX3" i="6"/>
  <c r="AY3" i="6"/>
  <c r="AZ3" i="6"/>
  <c r="BA3" i="6"/>
  <c r="BB3" i="6"/>
  <c r="BC3" i="6"/>
  <c r="BD3" i="6"/>
  <c r="BE3" i="6"/>
  <c r="BF3" i="6"/>
  <c r="BG3" i="6"/>
  <c r="BH3" i="6"/>
  <c r="BI3" i="6"/>
  <c r="BJ3" i="6"/>
  <c r="BK3" i="6"/>
  <c r="BL3" i="6"/>
  <c r="BM3" i="6"/>
  <c r="BN3" i="6"/>
  <c r="BO3" i="6"/>
  <c r="BP3" i="6"/>
  <c r="BQ3" i="6"/>
  <c r="BR3" i="6"/>
  <c r="BS3" i="6"/>
  <c r="BT3" i="6"/>
  <c r="BU3" i="6"/>
  <c r="BV3" i="6"/>
  <c r="BW3" i="6"/>
  <c r="BX3" i="6"/>
  <c r="BY3" i="6"/>
  <c r="BZ3" i="6"/>
  <c r="CA3" i="6"/>
  <c r="CB3" i="6"/>
  <c r="CC3" i="6"/>
  <c r="CD3" i="6"/>
  <c r="CE3" i="6"/>
  <c r="CF3" i="6"/>
  <c r="CG3" i="6"/>
  <c r="CH3" i="6"/>
  <c r="CI3" i="6"/>
  <c r="CJ3" i="6"/>
  <c r="CK3" i="6"/>
  <c r="CL3" i="6"/>
  <c r="CM3" i="6"/>
  <c r="CN3" i="6"/>
  <c r="CO3" i="6"/>
  <c r="CP3" i="6"/>
  <c r="CQ3" i="6"/>
  <c r="CR3" i="6"/>
  <c r="CS3" i="6"/>
  <c r="CT3" i="6"/>
  <c r="CU3" i="6"/>
  <c r="CV3" i="6"/>
  <c r="CW3" i="6"/>
  <c r="CX3" i="6"/>
  <c r="CY3" i="6"/>
  <c r="CZ3" i="6"/>
  <c r="DA3" i="6"/>
  <c r="DB3" i="6"/>
  <c r="DC3" i="6"/>
  <c r="DD3" i="6"/>
  <c r="DE3" i="6"/>
  <c r="DF3" i="6"/>
  <c r="DG3" i="6"/>
  <c r="DH3" i="6"/>
  <c r="DI3" i="6"/>
  <c r="DJ3" i="6"/>
  <c r="DK3" i="6"/>
  <c r="DL3" i="6"/>
  <c r="DM3" i="6"/>
  <c r="DN3" i="6"/>
  <c r="DO3" i="6"/>
  <c r="DP3" i="6"/>
  <c r="DQ3" i="6"/>
  <c r="DR3" i="6"/>
  <c r="DS3" i="6"/>
  <c r="DT3" i="6"/>
  <c r="DU3" i="6"/>
  <c r="DV3" i="6"/>
  <c r="DW3" i="6"/>
  <c r="DX3" i="6"/>
  <c r="DY3" i="6"/>
  <c r="DZ3" i="6"/>
  <c r="EA3" i="6"/>
  <c r="EB3" i="6"/>
  <c r="EC3" i="6"/>
  <c r="ED3" i="6"/>
  <c r="EE3" i="6"/>
  <c r="EF3" i="6"/>
  <c r="EG3" i="6"/>
  <c r="EH3" i="6"/>
  <c r="EI3" i="6"/>
  <c r="EJ3" i="6"/>
  <c r="EK3" i="6"/>
  <c r="EL3" i="6"/>
  <c r="EM3" i="6"/>
  <c r="EN3" i="6"/>
  <c r="EO3" i="6"/>
  <c r="EP3" i="6"/>
  <c r="EQ3" i="6"/>
  <c r="ER3" i="6"/>
  <c r="ES3" i="6"/>
  <c r="ET3" i="6"/>
  <c r="EU3" i="6"/>
  <c r="EV3" i="6"/>
  <c r="EW3" i="6"/>
  <c r="EX3" i="6"/>
  <c r="EY3" i="6"/>
  <c r="EZ3" i="6"/>
  <c r="FA3" i="6"/>
  <c r="FB3" i="6"/>
  <c r="FC3" i="6"/>
  <c r="FD3" i="6"/>
  <c r="FE3" i="6"/>
  <c r="FF3" i="6"/>
  <c r="FG3" i="6"/>
  <c r="FH3" i="6"/>
  <c r="FI3" i="6"/>
  <c r="FJ3" i="6"/>
  <c r="FK3" i="6"/>
  <c r="FL3" i="6"/>
  <c r="FM3" i="6"/>
  <c r="FN3" i="6"/>
  <c r="FO3" i="6"/>
  <c r="FP3" i="6"/>
  <c r="FQ3" i="6"/>
  <c r="FR3" i="6"/>
  <c r="FS3" i="6"/>
  <c r="FT3" i="6"/>
  <c r="FU3" i="6"/>
  <c r="FV3" i="6"/>
  <c r="FW3" i="6"/>
  <c r="FX3" i="6"/>
  <c r="FY3" i="6"/>
  <c r="FZ3" i="6"/>
  <c r="GA3" i="6"/>
  <c r="GB3" i="6"/>
  <c r="GC3" i="6"/>
  <c r="GD3" i="6"/>
  <c r="GE3" i="6"/>
  <c r="GF3" i="6"/>
  <c r="GG3" i="6"/>
  <c r="GH3" i="6"/>
  <c r="GI3" i="6"/>
  <c r="GJ3" i="6"/>
  <c r="GK3" i="6"/>
  <c r="GL3" i="6"/>
  <c r="GM3" i="6"/>
  <c r="GN3" i="6"/>
  <c r="GO3" i="6"/>
  <c r="GP3" i="6"/>
  <c r="GQ3" i="6"/>
  <c r="GR3" i="6"/>
  <c r="GS3" i="6"/>
  <c r="GT3" i="6"/>
  <c r="GU3" i="6"/>
  <c r="GV3" i="6"/>
  <c r="GW3" i="6"/>
  <c r="GX3" i="6"/>
  <c r="GY3" i="6"/>
  <c r="GZ3" i="6"/>
  <c r="HA3" i="6"/>
  <c r="HB3" i="6"/>
  <c r="HC3" i="6"/>
  <c r="HD3" i="6"/>
  <c r="HE3" i="6"/>
  <c r="HF3" i="6"/>
  <c r="HG3" i="6"/>
  <c r="HH3" i="6"/>
  <c r="HI3" i="6"/>
  <c r="HJ3" i="6"/>
  <c r="HK3" i="6"/>
  <c r="HL3" i="6"/>
  <c r="HM3" i="6"/>
  <c r="HN3" i="6"/>
  <c r="HO3" i="6"/>
  <c r="HP3" i="6"/>
  <c r="HQ3" i="6"/>
  <c r="HR3" i="6"/>
  <c r="HS3" i="6"/>
  <c r="HT3" i="6"/>
  <c r="HU3" i="6"/>
  <c r="HV3" i="6"/>
  <c r="HW3" i="6"/>
  <c r="HX3" i="6"/>
  <c r="HY3" i="6"/>
  <c r="HZ3" i="6"/>
  <c r="IA3" i="6"/>
  <c r="IB3" i="6"/>
  <c r="IC3" i="6"/>
  <c r="ID3" i="6"/>
  <c r="IE3" i="6"/>
  <c r="IF3" i="6"/>
  <c r="IG3" i="6"/>
  <c r="IH3" i="6"/>
  <c r="II3" i="6"/>
  <c r="IJ3" i="6"/>
  <c r="IK3" i="6"/>
  <c r="IL3" i="6"/>
  <c r="IM3" i="6"/>
  <c r="IN3" i="6"/>
  <c r="IO3" i="6"/>
  <c r="IP3" i="6"/>
  <c r="IQ3" i="6"/>
  <c r="IR3" i="6"/>
  <c r="IS3" i="6"/>
  <c r="IT3" i="6"/>
  <c r="IU3" i="6"/>
  <c r="IV3" i="6"/>
  <c r="A2" i="6"/>
  <c r="B2" i="6"/>
  <c r="C2" i="6"/>
  <c r="D2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AF2" i="6"/>
  <c r="AG2" i="6"/>
  <c r="AH2" i="6"/>
  <c r="AI2" i="6"/>
  <c r="AJ2" i="6"/>
  <c r="AK2" i="6"/>
  <c r="AL2" i="6"/>
  <c r="AM2" i="6"/>
  <c r="AN2" i="6"/>
  <c r="AO2" i="6"/>
  <c r="AP2" i="6"/>
  <c r="AQ2" i="6"/>
  <c r="AR2" i="6"/>
  <c r="AS2" i="6"/>
  <c r="AT2" i="6"/>
  <c r="AU2" i="6"/>
  <c r="AV2" i="6"/>
  <c r="AW2" i="6"/>
  <c r="AX2" i="6"/>
  <c r="AY2" i="6"/>
  <c r="AZ2" i="6"/>
  <c r="BA2" i="6"/>
  <c r="BB2" i="6"/>
  <c r="BC2" i="6"/>
  <c r="BD2" i="6"/>
  <c r="BE2" i="6"/>
  <c r="BF2" i="6"/>
  <c r="BG2" i="6"/>
  <c r="BH2" i="6"/>
  <c r="BI2" i="6"/>
  <c r="BJ2" i="6"/>
  <c r="BK2" i="6"/>
  <c r="BL2" i="6"/>
  <c r="BM2" i="6"/>
  <c r="BN2" i="6"/>
  <c r="BO2" i="6"/>
  <c r="BP2" i="6"/>
  <c r="BQ2" i="6"/>
  <c r="BR2" i="6"/>
  <c r="BS2" i="6"/>
  <c r="BT2" i="6"/>
  <c r="BU2" i="6"/>
  <c r="BV2" i="6"/>
  <c r="BW2" i="6"/>
  <c r="BX2" i="6"/>
  <c r="BY2" i="6"/>
  <c r="BZ2" i="6"/>
  <c r="CA2" i="6"/>
  <c r="CB2" i="6"/>
  <c r="CC2" i="6"/>
  <c r="CD2" i="6"/>
  <c r="CE2" i="6"/>
  <c r="CF2" i="6"/>
  <c r="CG2" i="6"/>
  <c r="CH2" i="6"/>
  <c r="CI2" i="6"/>
  <c r="CJ2" i="6"/>
  <c r="CK2" i="6"/>
  <c r="CL2" i="6"/>
  <c r="CM2" i="6"/>
  <c r="CN2" i="6"/>
  <c r="CO2" i="6"/>
  <c r="CP2" i="6"/>
  <c r="CQ2" i="6"/>
  <c r="CR2" i="6"/>
  <c r="CS2" i="6"/>
  <c r="CT2" i="6"/>
  <c r="CU2" i="6"/>
  <c r="CV2" i="6"/>
  <c r="CW2" i="6"/>
  <c r="CX2" i="6"/>
  <c r="CY2" i="6"/>
  <c r="CZ2" i="6"/>
  <c r="DA2" i="6"/>
  <c r="DB2" i="6"/>
  <c r="DC2" i="6"/>
  <c r="DD2" i="6"/>
  <c r="DE2" i="6"/>
  <c r="DF2" i="6"/>
  <c r="DG2" i="6"/>
  <c r="DH2" i="6"/>
  <c r="DI2" i="6"/>
  <c r="DJ2" i="6"/>
  <c r="DK2" i="6"/>
  <c r="DL2" i="6"/>
  <c r="DM2" i="6"/>
  <c r="DN2" i="6"/>
  <c r="DO2" i="6"/>
  <c r="DP2" i="6"/>
  <c r="DQ2" i="6"/>
  <c r="DR2" i="6"/>
  <c r="DS2" i="6"/>
  <c r="DT2" i="6"/>
  <c r="DU2" i="6"/>
  <c r="DV2" i="6"/>
  <c r="DW2" i="6"/>
  <c r="DX2" i="6"/>
  <c r="DY2" i="6"/>
  <c r="DZ2" i="6"/>
  <c r="EA2" i="6"/>
  <c r="EB2" i="6"/>
  <c r="EC2" i="6"/>
  <c r="ED2" i="6"/>
  <c r="EE2" i="6"/>
  <c r="EF2" i="6"/>
  <c r="EG2" i="6"/>
  <c r="EH2" i="6"/>
  <c r="EI2" i="6"/>
  <c r="EJ2" i="6"/>
  <c r="EK2" i="6"/>
  <c r="EL2" i="6"/>
  <c r="EM2" i="6"/>
  <c r="EN2" i="6"/>
  <c r="EO2" i="6"/>
  <c r="EP2" i="6"/>
  <c r="EQ2" i="6"/>
  <c r="ER2" i="6"/>
  <c r="ES2" i="6"/>
  <c r="ET2" i="6"/>
  <c r="EU2" i="6"/>
  <c r="EV2" i="6"/>
  <c r="EW2" i="6"/>
  <c r="EX2" i="6"/>
  <c r="EY2" i="6"/>
  <c r="EZ2" i="6"/>
  <c r="FA2" i="6"/>
  <c r="FB2" i="6"/>
  <c r="FC2" i="6"/>
  <c r="FD2" i="6"/>
  <c r="FE2" i="6"/>
  <c r="FF2" i="6"/>
  <c r="FG2" i="6"/>
  <c r="FH2" i="6"/>
  <c r="FI2" i="6"/>
  <c r="FJ2" i="6"/>
  <c r="FK2" i="6"/>
  <c r="FL2" i="6"/>
  <c r="FM2" i="6"/>
  <c r="FN2" i="6"/>
  <c r="FO2" i="6"/>
  <c r="FP2" i="6"/>
  <c r="FQ2" i="6"/>
  <c r="FR2" i="6"/>
  <c r="FS2" i="6"/>
  <c r="FT2" i="6"/>
  <c r="FU2" i="6"/>
  <c r="FV2" i="6"/>
  <c r="FW2" i="6"/>
  <c r="FX2" i="6"/>
  <c r="FY2" i="6"/>
  <c r="FZ2" i="6"/>
  <c r="GA2" i="6"/>
  <c r="GB2" i="6"/>
  <c r="GC2" i="6"/>
  <c r="GD2" i="6"/>
  <c r="GE2" i="6"/>
  <c r="GF2" i="6"/>
  <c r="GG2" i="6"/>
  <c r="GH2" i="6"/>
  <c r="GI2" i="6"/>
  <c r="GJ2" i="6"/>
  <c r="GK2" i="6"/>
  <c r="GL2" i="6"/>
  <c r="GM2" i="6"/>
  <c r="GN2" i="6"/>
  <c r="GO2" i="6"/>
  <c r="GP2" i="6"/>
  <c r="GQ2" i="6"/>
  <c r="GR2" i="6"/>
  <c r="GS2" i="6"/>
  <c r="GT2" i="6"/>
  <c r="GU2" i="6"/>
  <c r="GV2" i="6"/>
  <c r="GW2" i="6"/>
  <c r="GX2" i="6"/>
  <c r="GY2" i="6"/>
  <c r="GZ2" i="6"/>
  <c r="HA2" i="6"/>
  <c r="HB2" i="6"/>
  <c r="HC2" i="6"/>
  <c r="HD2" i="6"/>
  <c r="HE2" i="6"/>
  <c r="HF2" i="6"/>
  <c r="HG2" i="6"/>
  <c r="HH2" i="6"/>
  <c r="HI2" i="6"/>
  <c r="HJ2" i="6"/>
  <c r="HK2" i="6"/>
  <c r="HL2" i="6"/>
  <c r="HM2" i="6"/>
  <c r="HN2" i="6"/>
  <c r="HO2" i="6"/>
  <c r="HP2" i="6"/>
  <c r="HQ2" i="6"/>
  <c r="HR2" i="6"/>
  <c r="HS2" i="6"/>
  <c r="HT2" i="6"/>
  <c r="HU2" i="6"/>
  <c r="HV2" i="6"/>
  <c r="HW2" i="6"/>
  <c r="HX2" i="6"/>
  <c r="HY2" i="6"/>
  <c r="HZ2" i="6"/>
  <c r="IA2" i="6"/>
  <c r="IB2" i="6"/>
  <c r="IC2" i="6"/>
  <c r="ID2" i="6"/>
  <c r="IE2" i="6"/>
  <c r="IF2" i="6"/>
  <c r="IG2" i="6"/>
  <c r="IH2" i="6"/>
  <c r="II2" i="6"/>
  <c r="IJ2" i="6"/>
  <c r="IK2" i="6"/>
  <c r="IL2" i="6"/>
  <c r="IM2" i="6"/>
  <c r="IN2" i="6"/>
  <c r="IO2" i="6"/>
  <c r="IP2" i="6"/>
  <c r="IQ2" i="6"/>
  <c r="IR2" i="6"/>
  <c r="IS2" i="6"/>
  <c r="IT2" i="6"/>
  <c r="IU2" i="6"/>
  <c r="IV2" i="6"/>
  <c r="A1" i="6"/>
  <c r="B1" i="6"/>
  <c r="C1" i="6"/>
  <c r="D1" i="6"/>
  <c r="E1" i="6"/>
  <c r="F1" i="6"/>
  <c r="G1" i="6"/>
  <c r="H1" i="6"/>
  <c r="I1" i="6"/>
  <c r="J1" i="6"/>
  <c r="K1" i="6"/>
  <c r="L1" i="6"/>
  <c r="M1" i="6"/>
  <c r="N1" i="6"/>
  <c r="O1" i="6"/>
  <c r="P1" i="6"/>
  <c r="Q1" i="6"/>
  <c r="R1" i="6"/>
  <c r="S1" i="6"/>
  <c r="T1" i="6"/>
  <c r="U1" i="6"/>
  <c r="V1" i="6"/>
  <c r="W1" i="6"/>
  <c r="X1" i="6"/>
  <c r="Y1" i="6"/>
  <c r="Z1" i="6"/>
  <c r="AA1" i="6"/>
  <c r="AB1" i="6"/>
  <c r="AC1" i="6"/>
  <c r="AD1" i="6"/>
  <c r="AE1" i="6"/>
  <c r="AF1" i="6"/>
  <c r="AG1" i="6"/>
  <c r="AH1" i="6"/>
  <c r="AI1" i="6"/>
  <c r="AJ1" i="6"/>
  <c r="AK1" i="6"/>
  <c r="AL1" i="6"/>
  <c r="AM1" i="6"/>
  <c r="AN1" i="6"/>
  <c r="AO1" i="6"/>
  <c r="AP1" i="6"/>
  <c r="AQ1" i="6"/>
  <c r="AR1" i="6"/>
  <c r="AS1" i="6"/>
  <c r="AT1" i="6"/>
  <c r="AU1" i="6"/>
  <c r="AV1" i="6"/>
  <c r="AW1" i="6"/>
  <c r="AX1" i="6"/>
  <c r="AY1" i="6"/>
  <c r="AZ1" i="6"/>
  <c r="BA1" i="6"/>
  <c r="BB1" i="6"/>
  <c r="BC1" i="6"/>
  <c r="BD1" i="6"/>
  <c r="BE1" i="6"/>
  <c r="BF1" i="6"/>
  <c r="BG1" i="6"/>
  <c r="BH1" i="6"/>
  <c r="BI1" i="6"/>
  <c r="BJ1" i="6"/>
  <c r="BK1" i="6"/>
  <c r="BL1" i="6"/>
  <c r="BM1" i="6"/>
  <c r="BN1" i="6"/>
  <c r="BO1" i="6"/>
  <c r="BP1" i="6"/>
  <c r="BQ1" i="6"/>
  <c r="BR1" i="6"/>
  <c r="BS1" i="6"/>
  <c r="BT1" i="6"/>
  <c r="BU1" i="6"/>
  <c r="BV1" i="6"/>
  <c r="BW1" i="6"/>
  <c r="BX1" i="6"/>
  <c r="BY1" i="6"/>
  <c r="BZ1" i="6"/>
  <c r="CA1" i="6"/>
  <c r="CB1" i="6"/>
  <c r="CC1" i="6"/>
  <c r="CD1" i="6"/>
  <c r="CE1" i="6"/>
  <c r="CF1" i="6"/>
  <c r="CG1" i="6"/>
  <c r="CH1" i="6"/>
  <c r="CI1" i="6"/>
  <c r="CJ1" i="6"/>
  <c r="CK1" i="6"/>
  <c r="CL1" i="6"/>
  <c r="CM1" i="6"/>
  <c r="CN1" i="6"/>
  <c r="CO1" i="6"/>
  <c r="CP1" i="6"/>
  <c r="CQ1" i="6"/>
  <c r="CR1" i="6"/>
  <c r="CS1" i="6"/>
  <c r="CT1" i="6"/>
  <c r="CU1" i="6"/>
  <c r="CV1" i="6"/>
  <c r="CW1" i="6"/>
  <c r="CX1" i="6"/>
  <c r="CY1" i="6"/>
  <c r="CZ1" i="6"/>
  <c r="DA1" i="6"/>
  <c r="DB1" i="6"/>
  <c r="DC1" i="6"/>
  <c r="DD1" i="6"/>
  <c r="DE1" i="6"/>
  <c r="DF1" i="6"/>
  <c r="DG1" i="6"/>
  <c r="DH1" i="6"/>
  <c r="DI1" i="6"/>
  <c r="DJ1" i="6"/>
  <c r="DK1" i="6"/>
  <c r="DL1" i="6"/>
  <c r="DM1" i="6"/>
  <c r="DN1" i="6"/>
  <c r="DO1" i="6"/>
  <c r="DP1" i="6"/>
  <c r="DQ1" i="6"/>
  <c r="DR1" i="6"/>
  <c r="DS1" i="6"/>
  <c r="DT1" i="6"/>
  <c r="DU1" i="6"/>
  <c r="DV1" i="6"/>
  <c r="DW1" i="6"/>
  <c r="DX1" i="6"/>
  <c r="DY1" i="6"/>
  <c r="DZ1" i="6"/>
  <c r="EA1" i="6"/>
  <c r="EB1" i="6"/>
  <c r="EC1" i="6"/>
  <c r="ED1" i="6"/>
  <c r="EE1" i="6"/>
  <c r="EF1" i="6"/>
  <c r="EG1" i="6"/>
  <c r="EH1" i="6"/>
  <c r="EI1" i="6"/>
  <c r="EJ1" i="6"/>
  <c r="EK1" i="6"/>
  <c r="EL1" i="6"/>
  <c r="EM1" i="6"/>
  <c r="EN1" i="6"/>
  <c r="EO1" i="6"/>
  <c r="EP1" i="6"/>
  <c r="EQ1" i="6"/>
  <c r="ER1" i="6"/>
  <c r="ES1" i="6"/>
  <c r="ET1" i="6"/>
  <c r="EU1" i="6"/>
  <c r="EV1" i="6"/>
  <c r="EW1" i="6"/>
  <c r="EX1" i="6"/>
  <c r="EY1" i="6"/>
  <c r="EZ1" i="6"/>
  <c r="FA1" i="6"/>
  <c r="FB1" i="6"/>
  <c r="FC1" i="6"/>
  <c r="FD1" i="6"/>
  <c r="FE1" i="6"/>
  <c r="FF1" i="6"/>
  <c r="FG1" i="6"/>
  <c r="FH1" i="6"/>
  <c r="FI1" i="6"/>
  <c r="FJ1" i="6"/>
  <c r="FK1" i="6"/>
  <c r="FL1" i="6"/>
  <c r="FM1" i="6"/>
  <c r="FN1" i="6"/>
  <c r="FO1" i="6"/>
  <c r="FP1" i="6"/>
  <c r="FQ1" i="6"/>
  <c r="FR1" i="6"/>
  <c r="FS1" i="6"/>
  <c r="FT1" i="6"/>
  <c r="FU1" i="6"/>
  <c r="FV1" i="6"/>
  <c r="FW1" i="6"/>
  <c r="FX1" i="6"/>
  <c r="FY1" i="6"/>
  <c r="FZ1" i="6"/>
  <c r="GA1" i="6"/>
  <c r="GB1" i="6"/>
  <c r="GC1" i="6"/>
  <c r="GD1" i="6"/>
  <c r="GE1" i="6"/>
  <c r="GF1" i="6"/>
  <c r="GG1" i="6"/>
  <c r="GH1" i="6"/>
  <c r="GI1" i="6"/>
  <c r="GJ1" i="6"/>
  <c r="GK1" i="6"/>
  <c r="GL1" i="6"/>
  <c r="GM1" i="6"/>
  <c r="GN1" i="6"/>
  <c r="GO1" i="6"/>
  <c r="GP1" i="6"/>
  <c r="GQ1" i="6"/>
  <c r="GR1" i="6"/>
  <c r="GS1" i="6"/>
  <c r="GT1" i="6"/>
  <c r="GU1" i="6"/>
  <c r="GV1" i="6"/>
  <c r="GW1" i="6"/>
  <c r="GX1" i="6"/>
  <c r="GY1" i="6"/>
  <c r="GZ1" i="6"/>
  <c r="HA1" i="6"/>
  <c r="HB1" i="6"/>
  <c r="HC1" i="6"/>
  <c r="HD1" i="6"/>
  <c r="HE1" i="6"/>
  <c r="HF1" i="6"/>
  <c r="HG1" i="6"/>
  <c r="HH1" i="6"/>
  <c r="HI1" i="6"/>
  <c r="HJ1" i="6"/>
  <c r="HK1" i="6"/>
  <c r="HL1" i="6"/>
  <c r="HM1" i="6"/>
  <c r="HN1" i="6"/>
  <c r="HO1" i="6"/>
  <c r="HP1" i="6"/>
  <c r="HQ1" i="6"/>
  <c r="HR1" i="6"/>
  <c r="HS1" i="6"/>
  <c r="HT1" i="6"/>
  <c r="HU1" i="6"/>
  <c r="HV1" i="6"/>
  <c r="HW1" i="6"/>
  <c r="HX1" i="6"/>
  <c r="HY1" i="6"/>
  <c r="HZ1" i="6"/>
  <c r="IA1" i="6"/>
  <c r="IB1" i="6"/>
  <c r="IC1" i="6"/>
  <c r="ID1" i="6"/>
  <c r="IE1" i="6"/>
  <c r="IF1" i="6"/>
  <c r="IG1" i="6"/>
  <c r="IH1" i="6"/>
  <c r="II1" i="6"/>
  <c r="IJ1" i="6"/>
  <c r="IK1" i="6"/>
  <c r="IL1" i="6"/>
  <c r="IM1" i="6"/>
  <c r="IN1" i="6"/>
  <c r="IO1" i="6"/>
  <c r="IP1" i="6"/>
  <c r="IQ1" i="6"/>
  <c r="IR1" i="6"/>
  <c r="IS1" i="6"/>
  <c r="IT1" i="6"/>
  <c r="IU1" i="6"/>
  <c r="IV1" i="6"/>
  <c r="F8" i="6"/>
  <c r="S15" i="6"/>
  <c r="BM19" i="6"/>
  <c r="BO19" i="6"/>
  <c r="AM6" i="6"/>
  <c r="L3" i="6"/>
  <c r="HC10" i="6"/>
  <c r="HF10" i="6"/>
  <c r="BK19" i="6" l="1"/>
  <c r="X16" i="6"/>
  <c r="BZ19" i="6"/>
  <c r="BV19" i="6"/>
  <c r="IU9" i="6"/>
  <c r="B9" i="6"/>
  <c r="E10" i="6"/>
  <c r="B10" i="6"/>
  <c r="N14" i="6"/>
  <c r="D12" i="6"/>
  <c r="IR9" i="6"/>
  <c r="IP9" i="6"/>
  <c r="IN9" i="6"/>
  <c r="IL9" i="6"/>
  <c r="IQ9" i="6"/>
  <c r="IM9" i="6"/>
  <c r="IK9" i="6"/>
  <c r="F10" i="6"/>
  <c r="HB10" i="6"/>
  <c r="IO9" i="6"/>
  <c r="I13" i="6"/>
  <c r="BX19" i="6"/>
  <c r="HM10" i="6"/>
  <c r="BL19" i="6"/>
  <c r="BW19" i="6"/>
  <c r="BQ19" i="6"/>
  <c r="CI19" i="6" l="1"/>
  <c r="CB19" i="6"/>
  <c r="HG10" i="6"/>
  <c r="A10" i="6"/>
  <c r="CJ19" i="6" l="1"/>
</calcChain>
</file>

<file path=xl/sharedStrings.xml><?xml version="1.0" encoding="utf-8"?>
<sst xmlns="http://schemas.openxmlformats.org/spreadsheetml/2006/main" count="953" uniqueCount="107">
  <si>
    <t>Paper</t>
  </si>
  <si>
    <t>Plastic</t>
  </si>
  <si>
    <t>Glass</t>
  </si>
  <si>
    <t>Metal</t>
  </si>
  <si>
    <t>Material</t>
  </si>
  <si>
    <t>Totals</t>
  </si>
  <si>
    <t>AAAAAHxc71g=</t>
  </si>
  <si>
    <t>AAAAAHxc71k=</t>
  </si>
  <si>
    <t>AAAAAHxc71o=</t>
  </si>
  <si>
    <t>AAAAAHxc71s=</t>
  </si>
  <si>
    <t>AAAAAHxc71w=</t>
  </si>
  <si>
    <t>Aluminum Cans</t>
  </si>
  <si>
    <t>Food</t>
  </si>
  <si>
    <t>High Grade Paper</t>
  </si>
  <si>
    <t>Other Aluminum</t>
  </si>
  <si>
    <t>Other Ferrous</t>
  </si>
  <si>
    <t>Other Non-Ferrous</t>
  </si>
  <si>
    <t>Other Glass</t>
  </si>
  <si>
    <t>Yard Waste</t>
  </si>
  <si>
    <t>Miscellaneous Organics</t>
  </si>
  <si>
    <t>Miscellaneous Inorganics</t>
  </si>
  <si>
    <t>Latex Paint</t>
  </si>
  <si>
    <t>Newspaper</t>
  </si>
  <si>
    <t>Plain OCC/Kraft Paper</t>
  </si>
  <si>
    <t>Mixed Low Grade Paper</t>
  </si>
  <si>
    <t>Other Nonrecyclable Paper</t>
  </si>
  <si>
    <t>Paper Beverage Cartons/Aseptic Boxes</t>
  </si>
  <si>
    <t>#2 HDPE Natural Bottles</t>
  </si>
  <si>
    <t>#2 HDPE Pigmented Bottles</t>
  </si>
  <si>
    <t>Film Plastic: Garbage Bags</t>
  </si>
  <si>
    <t>Appliances: Plastic</t>
  </si>
  <si>
    <t>Other Plastics</t>
  </si>
  <si>
    <t>Clear Container Glass</t>
  </si>
  <si>
    <t>Green Container Glass</t>
  </si>
  <si>
    <t>Brown Container Glass</t>
  </si>
  <si>
    <t>Other Color Container Glass</t>
  </si>
  <si>
    <t>Mixed Cullet</t>
  </si>
  <si>
    <t>Aluminum Foil/Containers</t>
  </si>
  <si>
    <t>Steel/Tin Food Cans</t>
  </si>
  <si>
    <t>Empty Aerosol Cans</t>
  </si>
  <si>
    <t>Mixed Metals</t>
  </si>
  <si>
    <t>Appliances: Ferrous</t>
  </si>
  <si>
    <t>Appliances: Non-Ferrous</t>
  </si>
  <si>
    <t>Organics</t>
  </si>
  <si>
    <t>Non-C&amp;D Wood</t>
  </si>
  <si>
    <t>Textiles: Non-Clothing</t>
  </si>
  <si>
    <t>Textiles: Clothing</t>
  </si>
  <si>
    <t>Carpet/Upholstery</t>
  </si>
  <si>
    <t>Disposable Diapers/Sanitary Products</t>
  </si>
  <si>
    <t>Animal By-Products</t>
  </si>
  <si>
    <t>Shoes/Rubber/Leather</t>
  </si>
  <si>
    <t>Fines</t>
  </si>
  <si>
    <t>E-Waste</t>
  </si>
  <si>
    <t>Audio/Visual Equipment-TV Peripherals (Covered)</t>
  </si>
  <si>
    <t>Audio/Visual Equipment-Other (Non-Covered)</t>
  </si>
  <si>
    <t>Computer Monitors</t>
  </si>
  <si>
    <t>Televisions</t>
  </si>
  <si>
    <t>Other Computer Equipment</t>
  </si>
  <si>
    <t>Construction &amp; Demolition</t>
  </si>
  <si>
    <t>Untreated Dimensional Lumber/Pallets/Crates</t>
  </si>
  <si>
    <t>Treated/Contaminated Wood</t>
  </si>
  <si>
    <t>Other C&amp;D Debris Not Elsewhere Classified</t>
  </si>
  <si>
    <t>Special Waste</t>
  </si>
  <si>
    <t>Oil Filters</t>
  </si>
  <si>
    <t>Antifreeze</t>
  </si>
  <si>
    <t>Wet-Cell Batteries</t>
  </si>
  <si>
    <t>Water-Based Adhesives/Glues</t>
  </si>
  <si>
    <t>Oil-Based Paint/Solvent</t>
  </si>
  <si>
    <t>Pesticides/Herbicides/Rodenticides</t>
  </si>
  <si>
    <t>Dry-Cell Batteries</t>
  </si>
  <si>
    <t>Fluorescent Tubes/CFLs</t>
  </si>
  <si>
    <t>Mercury-Laden Wastes</t>
  </si>
  <si>
    <t>Compressed Gas Cylinders/Fire Extinguishers</t>
  </si>
  <si>
    <t>Home Medical Products</t>
  </si>
  <si>
    <t>Other Potentially Harmful Wastes</t>
  </si>
  <si>
    <t>#1 PET Bottles</t>
  </si>
  <si>
    <t>Other Plastic Bottles</t>
  </si>
  <si>
    <t>Rigid Plastic Containers/Packaging</t>
  </si>
  <si>
    <t>Bulk/Rigid Plastic</t>
  </si>
  <si>
    <t>Paper: Compostable/Soiled/Waxed OCC/Kraft</t>
  </si>
  <si>
    <t>#6 EPS Containers/Packaging (including Single Use)</t>
  </si>
  <si>
    <t>Film Plastic: Retail Bags/Sleeves</t>
  </si>
  <si>
    <t>Film Plastic: Food/Drink Pouches</t>
  </si>
  <si>
    <t>Film Plastic: All Other Film</t>
  </si>
  <si>
    <t>Single Use Plastic Plates/Cups/Cutlery (excluding EPS)</t>
  </si>
  <si>
    <t>Aggregate Percent</t>
  </si>
  <si>
    <t>Refuse Percent</t>
  </si>
  <si>
    <t>Paper Percent</t>
  </si>
  <si>
    <t>MGP Percent</t>
  </si>
  <si>
    <t>Designated Paper</t>
  </si>
  <si>
    <t>Designated MGP</t>
  </si>
  <si>
    <t>Other</t>
  </si>
  <si>
    <t>HHP</t>
  </si>
  <si>
    <t>NYC 2013 Waste Characterization Study</t>
  </si>
  <si>
    <t>WASTE COMPOSITION MAIN SORT CATEGORIES: Manhattan All Material Streams</t>
  </si>
  <si>
    <t>WASTE COMPOSITION MAIN SORT CATEGORIES: Bronx All Material Streams</t>
  </si>
  <si>
    <t>WASTE COMPOSITION MAIN SORT CATEGORIES: Brooklyn All Material Streams</t>
  </si>
  <si>
    <t>WASTE COMPOSITION MAIN SORT CATEGORIES: Queens All Material Streams</t>
  </si>
  <si>
    <t>WASTE COMPOSITION MAIN SORT CATEGORIES: Staten Island All Material Streams</t>
  </si>
  <si>
    <t>WASTE COMPOSITION MAIN SORT CATEGORIES: Citywide All Material Streams</t>
  </si>
  <si>
    <t>DSNY Diversion Summary Category</t>
  </si>
  <si>
    <t>Organics Suitable for Composting</t>
  </si>
  <si>
    <t>Designated MGP (after study completed)</t>
  </si>
  <si>
    <t>Plastic Bags</t>
  </si>
  <si>
    <t>Textiles</t>
  </si>
  <si>
    <t>C&amp;D</t>
  </si>
  <si>
    <t>Harmful Household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</si>
</sst>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0.000%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10"/>
      <color theme="1"/>
      <name val="Franklin Gothic Book"/>
      <family val="2"/>
    </font>
    <font>
      <b/>
      <sz val="10"/>
      <color theme="1"/>
      <name val="Franklin Gothic Book"/>
      <family val="2"/>
    </font>
    <font>
      <b/>
      <sz val="14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4">
    <xf numFmtId="0" fontId="0" fillId="0" borderId="0"/>
    <xf numFmtId="43" fontId="8" fillId="0" borderId="0" applyFont="0" applyFill="0" applyBorder="0" applyAlignment="0" applyProtection="0"/>
    <xf numFmtId="0" fontId="9" fillId="0" borderId="0"/>
    <xf numFmtId="0" fontId="10" fillId="0" borderId="0"/>
    <xf numFmtId="9" fontId="8" fillId="0" borderId="0" applyFont="0" applyFill="0" applyBorder="0" applyAlignment="0" applyProtection="0"/>
    <xf numFmtId="0" fontId="7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4" fillId="0" borderId="0" applyNumberFormat="0" applyFill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6" applyNumberFormat="0" applyAlignment="0" applyProtection="0"/>
    <xf numFmtId="0" fontId="22" fillId="7" borderId="7" applyNumberFormat="0" applyAlignment="0" applyProtection="0"/>
    <xf numFmtId="0" fontId="23" fillId="7" borderId="6" applyNumberFormat="0" applyAlignment="0" applyProtection="0"/>
    <xf numFmtId="0" fontId="24" fillId="0" borderId="8" applyNumberFormat="0" applyFill="0" applyAlignment="0" applyProtection="0"/>
    <xf numFmtId="0" fontId="25" fillId="8" borderId="9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8" fillId="33" borderId="0" applyNumberFormat="0" applyBorder="0" applyAlignment="0" applyProtection="0"/>
    <xf numFmtId="0" fontId="2" fillId="0" borderId="0"/>
    <xf numFmtId="0" fontId="2" fillId="9" borderId="10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6" applyNumberFormat="0" applyAlignment="0" applyProtection="0"/>
    <xf numFmtId="0" fontId="22" fillId="7" borderId="7" applyNumberFormat="0" applyAlignment="0" applyProtection="0"/>
    <xf numFmtId="0" fontId="23" fillId="7" borderId="6" applyNumberFormat="0" applyAlignment="0" applyProtection="0"/>
    <xf numFmtId="0" fontId="24" fillId="0" borderId="8" applyNumberFormat="0" applyFill="0" applyAlignment="0" applyProtection="0"/>
    <xf numFmtId="0" fontId="25" fillId="8" borderId="9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8" fillId="33" borderId="0" applyNumberFormat="0" applyBorder="0" applyAlignment="0" applyProtection="0"/>
    <xf numFmtId="0" fontId="31" fillId="0" borderId="0"/>
    <xf numFmtId="43" fontId="8" fillId="0" borderId="0" applyFont="0" applyFill="0" applyBorder="0" applyAlignment="0" applyProtection="0"/>
    <xf numFmtId="0" fontId="8" fillId="0" borderId="0"/>
    <xf numFmtId="0" fontId="1" fillId="0" borderId="0"/>
  </cellStyleXfs>
  <cellXfs count="31">
    <xf numFmtId="0" fontId="0" fillId="0" borderId="0" xfId="0"/>
    <xf numFmtId="43" fontId="0" fillId="0" borderId="0" xfId="1" applyFont="1"/>
    <xf numFmtId="0" fontId="9" fillId="0" borderId="0" xfId="2"/>
    <xf numFmtId="0" fontId="9" fillId="0" borderId="0" xfId="3" applyFont="1"/>
    <xf numFmtId="9" fontId="0" fillId="0" borderId="0" xfId="4" applyFont="1"/>
    <xf numFmtId="0" fontId="11" fillId="0" borderId="0" xfId="0" applyFont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1" fillId="0" borderId="2" xfId="6" applyFont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 indent="2"/>
    </xf>
    <xf numFmtId="0" fontId="11" fillId="0" borderId="0" xfId="6" applyFont="1" applyFill="1" applyBorder="1" applyAlignment="1">
      <alignment horizontal="left" vertical="center" wrapText="1" indent="2"/>
    </xf>
    <xf numFmtId="0" fontId="11" fillId="0" borderId="1" xfId="0" applyFont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9" fontId="12" fillId="0" borderId="1" xfId="4" applyFont="1" applyFill="1" applyBorder="1" applyAlignment="1">
      <alignment horizontal="center" vertical="center" wrapText="1"/>
    </xf>
    <xf numFmtId="0" fontId="12" fillId="0" borderId="12" xfId="6" applyFont="1" applyBorder="1" applyAlignment="1">
      <alignment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vertical="center" wrapText="1"/>
    </xf>
    <xf numFmtId="0" fontId="31" fillId="0" borderId="0" xfId="100" applyFont="1" applyAlignment="1">
      <alignment horizontal="center" vertical="center"/>
    </xf>
    <xf numFmtId="0" fontId="31" fillId="0" borderId="0" xfId="100" applyFont="1" applyAlignment="1">
      <alignment vertical="center"/>
    </xf>
    <xf numFmtId="0" fontId="32" fillId="0" borderId="0" xfId="100" applyFont="1" applyAlignment="1">
      <alignment horizontal="left" vertical="center" wrapText="1"/>
    </xf>
    <xf numFmtId="0" fontId="33" fillId="0" borderId="0" xfId="6" applyFont="1" applyFill="1" applyBorder="1" applyAlignment="1">
      <alignment vertical="center"/>
    </xf>
    <xf numFmtId="164" fontId="11" fillId="0" borderId="0" xfId="0" applyNumberFormat="1" applyFont="1" applyAlignment="1">
      <alignment vertical="center" wrapText="1"/>
    </xf>
    <xf numFmtId="165" fontId="11" fillId="0" borderId="0" xfId="0" applyNumberFormat="1" applyFont="1" applyAlignment="1">
      <alignment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9" fontId="12" fillId="0" borderId="2" xfId="4" applyFont="1" applyFill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1" fillId="0" borderId="15" xfId="6" applyFont="1" applyBorder="1" applyAlignment="1">
      <alignment vertical="center" wrapText="1"/>
    </xf>
    <xf numFmtId="0" fontId="11" fillId="0" borderId="2" xfId="0" applyFont="1" applyBorder="1" applyAlignment="1">
      <alignment vertical="center"/>
    </xf>
  </cellXfs>
  <cellStyles count="104">
    <cellStyle name="20% - Accent1" xfId="28" builtinId="30" customBuiltin="1"/>
    <cellStyle name="20% - Accent1 2" xfId="77"/>
    <cellStyle name="20% - Accent2" xfId="32" builtinId="34" customBuiltin="1"/>
    <cellStyle name="20% - Accent2 2" xfId="81"/>
    <cellStyle name="20% - Accent3" xfId="36" builtinId="38" customBuiltin="1"/>
    <cellStyle name="20% - Accent3 2" xfId="85"/>
    <cellStyle name="20% - Accent4" xfId="40" builtinId="42" customBuiltin="1"/>
    <cellStyle name="20% - Accent4 2" xfId="89"/>
    <cellStyle name="20% - Accent5" xfId="44" builtinId="46" customBuiltin="1"/>
    <cellStyle name="20% - Accent5 2" xfId="93"/>
    <cellStyle name="20% - Accent6" xfId="48" builtinId="50" customBuiltin="1"/>
    <cellStyle name="20% - Accent6 2" xfId="97"/>
    <cellStyle name="40% - Accent1" xfId="29" builtinId="31" customBuiltin="1"/>
    <cellStyle name="40% - Accent1 2" xfId="78"/>
    <cellStyle name="40% - Accent2" xfId="33" builtinId="35" customBuiltin="1"/>
    <cellStyle name="40% - Accent2 2" xfId="82"/>
    <cellStyle name="40% - Accent3" xfId="37" builtinId="39" customBuiltin="1"/>
    <cellStyle name="40% - Accent3 2" xfId="86"/>
    <cellStyle name="40% - Accent4" xfId="41" builtinId="43" customBuiltin="1"/>
    <cellStyle name="40% - Accent4 2" xfId="90"/>
    <cellStyle name="40% - Accent5" xfId="45" builtinId="47" customBuiltin="1"/>
    <cellStyle name="40% - Accent5 2" xfId="94"/>
    <cellStyle name="40% - Accent6" xfId="49" builtinId="51" customBuiltin="1"/>
    <cellStyle name="40% - Accent6 2" xfId="98"/>
    <cellStyle name="60% - Accent1" xfId="30" builtinId="32" customBuiltin="1"/>
    <cellStyle name="60% - Accent1 2" xfId="79"/>
    <cellStyle name="60% - Accent2" xfId="34" builtinId="36" customBuiltin="1"/>
    <cellStyle name="60% - Accent2 2" xfId="83"/>
    <cellStyle name="60% - Accent3" xfId="38" builtinId="40" customBuiltin="1"/>
    <cellStyle name="60% - Accent3 2" xfId="87"/>
    <cellStyle name="60% - Accent4" xfId="42" builtinId="44" customBuiltin="1"/>
    <cellStyle name="60% - Accent4 2" xfId="91"/>
    <cellStyle name="60% - Accent5" xfId="46" builtinId="48" customBuiltin="1"/>
    <cellStyle name="60% - Accent5 2" xfId="95"/>
    <cellStyle name="60% - Accent6" xfId="50" builtinId="52" customBuiltin="1"/>
    <cellStyle name="60% - Accent6 2" xfId="99"/>
    <cellStyle name="Accent1" xfId="27" builtinId="29" customBuiltin="1"/>
    <cellStyle name="Accent1 2" xfId="76"/>
    <cellStyle name="Accent2" xfId="31" builtinId="33" customBuiltin="1"/>
    <cellStyle name="Accent2 2" xfId="80"/>
    <cellStyle name="Accent3" xfId="35" builtinId="37" customBuiltin="1"/>
    <cellStyle name="Accent3 2" xfId="84"/>
    <cellStyle name="Accent4" xfId="39" builtinId="41" customBuiltin="1"/>
    <cellStyle name="Accent4 2" xfId="88"/>
    <cellStyle name="Accent5" xfId="43" builtinId="45" customBuiltin="1"/>
    <cellStyle name="Accent5 2" xfId="92"/>
    <cellStyle name="Accent6" xfId="47" builtinId="49" customBuiltin="1"/>
    <cellStyle name="Accent6 2" xfId="96"/>
    <cellStyle name="Bad" xfId="17" builtinId="27" customBuiltin="1"/>
    <cellStyle name="Bad 2" xfId="66"/>
    <cellStyle name="Calculation" xfId="21" builtinId="22" customBuiltin="1"/>
    <cellStyle name="Calculation 2" xfId="70"/>
    <cellStyle name="Check Cell" xfId="23" builtinId="23" customBuiltin="1"/>
    <cellStyle name="Check Cell 2" xfId="72"/>
    <cellStyle name="Comma" xfId="1" builtinId="3"/>
    <cellStyle name="Comma 2" xfId="101"/>
    <cellStyle name="Explanatory Text" xfId="25" builtinId="53" customBuiltin="1"/>
    <cellStyle name="Explanatory Text 2" xfId="74"/>
    <cellStyle name="Followed Hyperlink" xfId="54" builtinId="9" customBuiltin="1"/>
    <cellStyle name="Good" xfId="16" builtinId="26" customBuiltin="1"/>
    <cellStyle name="Good 2" xfId="65"/>
    <cellStyle name="Heading 1" xfId="12" builtinId="16" customBuiltin="1"/>
    <cellStyle name="Heading 1 2" xfId="61"/>
    <cellStyle name="Heading 2" xfId="13" builtinId="17" customBuiltin="1"/>
    <cellStyle name="Heading 2 2" xfId="62"/>
    <cellStyle name="Heading 3" xfId="14" builtinId="18" customBuiltin="1"/>
    <cellStyle name="Heading 3 2" xfId="63"/>
    <cellStyle name="Heading 4" xfId="15" builtinId="19" customBuiltin="1"/>
    <cellStyle name="Heading 4 2" xfId="64"/>
    <cellStyle name="Hyperlink" xfId="53" builtinId="8" customBuiltin="1"/>
    <cellStyle name="Input" xfId="19" builtinId="20" customBuiltin="1"/>
    <cellStyle name="Input 2" xfId="68"/>
    <cellStyle name="Linked Cell" xfId="22" builtinId="24" customBuiltin="1"/>
    <cellStyle name="Linked Cell 2" xfId="71"/>
    <cellStyle name="Neutral" xfId="18" builtinId="28" customBuiltin="1"/>
    <cellStyle name="Neutral 2" xfId="67"/>
    <cellStyle name="Normal" xfId="0" builtinId="0"/>
    <cellStyle name="Normal 2" xfId="5"/>
    <cellStyle name="Normal 2 2" xfId="7"/>
    <cellStyle name="Normal 2 2 2" xfId="57"/>
    <cellStyle name="Normal 2 3" xfId="8"/>
    <cellStyle name="Normal 2 3 2" xfId="58"/>
    <cellStyle name="Normal 2 4" xfId="9"/>
    <cellStyle name="Normal 2 4 2" xfId="59"/>
    <cellStyle name="Normal 2 5" xfId="56"/>
    <cellStyle name="Normal 3" xfId="6"/>
    <cellStyle name="Normal 3 2" xfId="102"/>
    <cellStyle name="Normal 4" xfId="10"/>
    <cellStyle name="Normal 4 2" xfId="60"/>
    <cellStyle name="Normal 5" xfId="51"/>
    <cellStyle name="Normal 6" xfId="100"/>
    <cellStyle name="Normal 7" xfId="103"/>
    <cellStyle name="Normal_RawData" xfId="2"/>
    <cellStyle name="Normal_RawData_1" xfId="3"/>
    <cellStyle name="Note 2" xfId="52"/>
    <cellStyle name="Output" xfId="20" builtinId="21" customBuiltin="1"/>
    <cellStyle name="Output 2" xfId="69"/>
    <cellStyle name="Percent" xfId="4" builtinId="5"/>
    <cellStyle name="Percent 2" xfId="55"/>
    <cellStyle name="Title" xfId="11" builtinId="15" customBuiltin="1"/>
    <cellStyle name="Total" xfId="26" builtinId="25" customBuiltin="1"/>
    <cellStyle name="Total 2" xfId="75"/>
    <cellStyle name="Warning Text" xfId="24" builtinId="11" customBuiltin="1"/>
    <cellStyle name="Warning Text 2" xfId="73"/>
  </cellStyles>
  <dxfs count="0"/>
  <tableStyles count="0" defaultTableStyle="TableStyleMedium9" defaultPivotStyle="PivotStyleLight16"/>
  <colors>
    <mruColors>
      <color rgb="FF0000CC"/>
      <color rgb="FF996633"/>
      <color rgb="FFFAC090"/>
      <color rgb="FFB3A2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showGridLines="0" tabSelected="1" zoomScaleNormal="100" zoomScaleSheetLayoutView="100" workbookViewId="0">
      <pane xSplit="1" ySplit="3" topLeftCell="B43" activePane="bottomRight" state="frozen"/>
      <selection pane="topRight" activeCell="B1" sqref="B1"/>
      <selection pane="bottomLeft" activeCell="A3" sqref="A3"/>
      <selection pane="bottomRight"/>
    </sheetView>
  </sheetViews>
  <sheetFormatPr defaultColWidth="9.28515625" defaultRowHeight="12.75" x14ac:dyDescent="0.2"/>
  <cols>
    <col min="1" max="1" width="48.7109375" style="5" customWidth="1"/>
    <col min="2" max="2" width="9" style="5" bestFit="1" customWidth="1"/>
    <col min="3" max="4" width="8.85546875" style="5" bestFit="1" customWidth="1"/>
    <col min="5" max="5" width="12.140625" style="5" bestFit="1" customWidth="1"/>
    <col min="6" max="6" width="35.85546875" style="5" customWidth="1"/>
    <col min="7" max="16384" width="9.28515625" style="5"/>
  </cols>
  <sheetData>
    <row r="1" spans="1:6" s="21" customFormat="1" ht="18.75" x14ac:dyDescent="0.2">
      <c r="A1" s="23" t="s">
        <v>93</v>
      </c>
      <c r="B1" s="22"/>
      <c r="C1" s="20"/>
      <c r="E1" s="20"/>
      <c r="F1" s="5"/>
    </row>
    <row r="2" spans="1:6" ht="18.75" x14ac:dyDescent="0.2">
      <c r="A2" s="23" t="s">
        <v>99</v>
      </c>
      <c r="C2" s="11"/>
      <c r="E2" s="11"/>
    </row>
    <row r="3" spans="1:6" ht="25.5" x14ac:dyDescent="0.2">
      <c r="A3" s="19" t="s">
        <v>4</v>
      </c>
      <c r="B3" s="18" t="s">
        <v>85</v>
      </c>
      <c r="C3" s="18" t="s">
        <v>86</v>
      </c>
      <c r="D3" s="18" t="s">
        <v>88</v>
      </c>
      <c r="E3" s="18" t="s">
        <v>87</v>
      </c>
      <c r="F3" s="17" t="s">
        <v>100</v>
      </c>
    </row>
    <row r="4" spans="1:6" x14ac:dyDescent="0.2">
      <c r="A4" s="6" t="s">
        <v>0</v>
      </c>
      <c r="B4" s="12">
        <v>0.27040788994941922</v>
      </c>
      <c r="C4" s="12">
        <v>0.21256936232905826</v>
      </c>
      <c r="D4" s="12">
        <v>6.8863212812342922E-2</v>
      </c>
      <c r="E4" s="12">
        <v>0.94484070470977</v>
      </c>
      <c r="F4" s="29"/>
    </row>
    <row r="5" spans="1:6" x14ac:dyDescent="0.2">
      <c r="A5" s="9" t="s">
        <v>22</v>
      </c>
      <c r="B5" s="13">
        <v>3.2741460616609E-2</v>
      </c>
      <c r="C5" s="13">
        <v>1.5264624339044399E-2</v>
      </c>
      <c r="D5" s="13">
        <v>6.6936772335355298E-3</v>
      </c>
      <c r="E5" s="13">
        <v>0.21061111380431999</v>
      </c>
      <c r="F5" s="8" t="s">
        <v>89</v>
      </c>
    </row>
    <row r="6" spans="1:6" x14ac:dyDescent="0.2">
      <c r="A6" s="9" t="s">
        <v>23</v>
      </c>
      <c r="B6" s="13">
        <v>4.4084715459382598E-2</v>
      </c>
      <c r="C6" s="13">
        <v>1.49225853258141E-2</v>
      </c>
      <c r="D6" s="13">
        <v>5.2239570806771902E-3</v>
      </c>
      <c r="E6" s="13">
        <v>0.33745744259373101</v>
      </c>
      <c r="F6" s="8" t="s">
        <v>89</v>
      </c>
    </row>
    <row r="7" spans="1:6" x14ac:dyDescent="0.2">
      <c r="A7" s="9" t="s">
        <v>13</v>
      </c>
      <c r="B7" s="13">
        <v>1.3278995850654399E-2</v>
      </c>
      <c r="C7" s="13">
        <v>9.1923775091818302E-3</v>
      </c>
      <c r="D7" s="13">
        <v>1.0319988836416799E-3</v>
      </c>
      <c r="E7" s="13">
        <v>5.94490004407352E-2</v>
      </c>
      <c r="F7" s="8" t="s">
        <v>89</v>
      </c>
    </row>
    <row r="8" spans="1:6" x14ac:dyDescent="0.2">
      <c r="A8" s="9" t="s">
        <v>24</v>
      </c>
      <c r="B8" s="13">
        <v>9.2912752804936993E-2</v>
      </c>
      <c r="C8" s="13">
        <v>7.36220433847148E-2</v>
      </c>
      <c r="D8" s="13">
        <v>2.38744022377206E-2</v>
      </c>
      <c r="E8" s="13">
        <v>0.31920623877431398</v>
      </c>
      <c r="F8" s="8" t="s">
        <v>89</v>
      </c>
    </row>
    <row r="9" spans="1:6" x14ac:dyDescent="0.2">
      <c r="A9" s="9" t="s">
        <v>79</v>
      </c>
      <c r="B9" s="13">
        <v>7.4615842273115393E-2</v>
      </c>
      <c r="C9" s="13">
        <v>8.7914622388472696E-2</v>
      </c>
      <c r="D9" s="13">
        <v>4.6497991190286303E-3</v>
      </c>
      <c r="E9" s="13">
        <v>6.0463280342693999E-3</v>
      </c>
      <c r="F9" s="8" t="s">
        <v>101</v>
      </c>
    </row>
    <row r="10" spans="1:6" x14ac:dyDescent="0.2">
      <c r="A10" s="9" t="s">
        <v>25</v>
      </c>
      <c r="B10" s="13">
        <v>8.6062398873971695E-3</v>
      </c>
      <c r="C10" s="13">
        <v>8.9343164973440699E-3</v>
      </c>
      <c r="D10" s="13">
        <v>4.5318188932136003E-3</v>
      </c>
      <c r="E10" s="13">
        <v>8.6612413285431303E-3</v>
      </c>
      <c r="F10" s="8" t="s">
        <v>91</v>
      </c>
    </row>
    <row r="11" spans="1:6" x14ac:dyDescent="0.2">
      <c r="A11" s="9" t="s">
        <v>26</v>
      </c>
      <c r="B11" s="13">
        <v>4.1678830573236604E-3</v>
      </c>
      <c r="C11" s="13">
        <v>2.7187928844863698E-3</v>
      </c>
      <c r="D11" s="13">
        <v>2.2857559364525701E-2</v>
      </c>
      <c r="E11" s="13">
        <v>3.4093397338573099E-3</v>
      </c>
      <c r="F11" s="8" t="s">
        <v>90</v>
      </c>
    </row>
    <row r="12" spans="1:6" x14ac:dyDescent="0.2">
      <c r="A12" s="6" t="s">
        <v>1</v>
      </c>
      <c r="B12" s="14">
        <v>0.13985786797549382</v>
      </c>
      <c r="C12" s="14">
        <v>0.1371737292203335</v>
      </c>
      <c r="D12" s="14">
        <v>0.32660070355198767</v>
      </c>
      <c r="E12" s="14">
        <v>2.5311788202638585E-2</v>
      </c>
      <c r="F12" s="8"/>
    </row>
    <row r="13" spans="1:6" x14ac:dyDescent="0.2">
      <c r="A13" s="9" t="s">
        <v>75</v>
      </c>
      <c r="B13" s="13">
        <v>1.43473004154479E-2</v>
      </c>
      <c r="C13" s="13">
        <v>9.1349041310178798E-3</v>
      </c>
      <c r="D13" s="13">
        <v>9.5026057232647704E-2</v>
      </c>
      <c r="E13" s="13">
        <v>1.61418443329524E-3</v>
      </c>
      <c r="F13" s="8" t="s">
        <v>90</v>
      </c>
    </row>
    <row r="14" spans="1:6" x14ac:dyDescent="0.2">
      <c r="A14" s="10" t="s">
        <v>27</v>
      </c>
      <c r="B14" s="13">
        <v>5.1036328949463465E-3</v>
      </c>
      <c r="C14" s="13">
        <v>2.3510570009237963E-3</v>
      </c>
      <c r="D14" s="13">
        <v>4.4828763562370963E-2</v>
      </c>
      <c r="E14" s="13">
        <v>5.2141140547598639E-4</v>
      </c>
      <c r="F14" s="8" t="s">
        <v>90</v>
      </c>
    </row>
    <row r="15" spans="1:6" x14ac:dyDescent="0.2">
      <c r="A15" s="10" t="s">
        <v>28</v>
      </c>
      <c r="B15" s="13">
        <v>4.3279389209367313E-3</v>
      </c>
      <c r="C15" s="13">
        <v>2.1337894282709526E-3</v>
      </c>
      <c r="D15" s="13">
        <v>3.6462253716086329E-2</v>
      </c>
      <c r="E15" s="13">
        <v>3.2697416577607934E-4</v>
      </c>
      <c r="F15" s="8" t="s">
        <v>90</v>
      </c>
    </row>
    <row r="16" spans="1:6" x14ac:dyDescent="0.2">
      <c r="A16" s="9" t="s">
        <v>76</v>
      </c>
      <c r="B16" s="13">
        <v>1.28320865817016E-3</v>
      </c>
      <c r="C16" s="13">
        <v>8.3852042652658102E-4</v>
      </c>
      <c r="D16" s="13">
        <v>8.2233070606510996E-3</v>
      </c>
      <c r="E16" s="13">
        <v>1.5443010569552801E-4</v>
      </c>
      <c r="F16" s="8" t="s">
        <v>90</v>
      </c>
    </row>
    <row r="17" spans="1:6" x14ac:dyDescent="0.2">
      <c r="A17" s="9" t="s">
        <v>77</v>
      </c>
      <c r="B17" s="13">
        <v>1.5632512883834701E-2</v>
      </c>
      <c r="C17" s="13">
        <v>1.51579760777764E-2</v>
      </c>
      <c r="D17" s="13">
        <v>3.9702991379705101E-2</v>
      </c>
      <c r="E17" s="13">
        <v>2.03385126763303E-3</v>
      </c>
      <c r="F17" s="8" t="s">
        <v>102</v>
      </c>
    </row>
    <row r="18" spans="1:6" x14ac:dyDescent="0.2">
      <c r="A18" s="9" t="s">
        <v>84</v>
      </c>
      <c r="B18" s="13">
        <v>4.73091647164035E-3</v>
      </c>
      <c r="C18" s="13">
        <v>5.3139947060813703E-3</v>
      </c>
      <c r="D18" s="13">
        <v>3.4400507633843402E-3</v>
      </c>
      <c r="E18" s="13">
        <v>4.0307065567663397E-4</v>
      </c>
      <c r="F18" s="8" t="s">
        <v>102</v>
      </c>
    </row>
    <row r="19" spans="1:6" x14ac:dyDescent="0.2">
      <c r="A19" s="9" t="s">
        <v>30</v>
      </c>
      <c r="B19" s="13">
        <v>2.3773797993921599E-3</v>
      </c>
      <c r="C19" s="13">
        <v>2.5151506647901299E-3</v>
      </c>
      <c r="D19" s="13">
        <v>3.6411660250707301E-3</v>
      </c>
      <c r="E19" s="13">
        <v>1.8800997059880201E-4</v>
      </c>
      <c r="F19" s="8" t="s">
        <v>102</v>
      </c>
    </row>
    <row r="20" spans="1:6" x14ac:dyDescent="0.2">
      <c r="A20" s="9" t="s">
        <v>78</v>
      </c>
      <c r="B20" s="13">
        <v>8.7465995896243692E-3</v>
      </c>
      <c r="C20" s="13">
        <v>7.7308392424178104E-3</v>
      </c>
      <c r="D20" s="13">
        <v>3.1761131107103102E-2</v>
      </c>
      <c r="E20" s="13">
        <v>8.4162756997631101E-4</v>
      </c>
      <c r="F20" s="8" t="s">
        <v>102</v>
      </c>
    </row>
    <row r="21" spans="1:6" x14ac:dyDescent="0.2">
      <c r="A21" s="9" t="s">
        <v>31</v>
      </c>
      <c r="B21" s="13">
        <v>7.8290838303691507E-3</v>
      </c>
      <c r="C21" s="13">
        <v>7.8916454151855102E-3</v>
      </c>
      <c r="D21" s="13">
        <v>1.52013149000918E-2</v>
      </c>
      <c r="E21" s="13">
        <v>1.77867896999184E-3</v>
      </c>
      <c r="F21" s="8" t="s">
        <v>102</v>
      </c>
    </row>
    <row r="22" spans="1:6" x14ac:dyDescent="0.2">
      <c r="A22" s="9" t="s">
        <v>80</v>
      </c>
      <c r="B22" s="13">
        <v>7.9437300395661607E-3</v>
      </c>
      <c r="C22" s="13">
        <v>9.1890938088242599E-3</v>
      </c>
      <c r="D22" s="13">
        <v>1.3352245973218E-3</v>
      </c>
      <c r="E22" s="13">
        <v>1.5645900503065201E-3</v>
      </c>
      <c r="F22" s="8" t="s">
        <v>91</v>
      </c>
    </row>
    <row r="23" spans="1:6" x14ac:dyDescent="0.2">
      <c r="A23" s="9" t="s">
        <v>81</v>
      </c>
      <c r="B23" s="13">
        <v>2.3307326460082899E-2</v>
      </c>
      <c r="C23" s="13">
        <v>2.6840947978051099E-2</v>
      </c>
      <c r="D23" s="13">
        <v>8.7744146251192597E-3</v>
      </c>
      <c r="E23" s="13">
        <v>2.0697671845099899E-3</v>
      </c>
      <c r="F23" s="8" t="s">
        <v>103</v>
      </c>
    </row>
    <row r="24" spans="1:6" x14ac:dyDescent="0.2">
      <c r="A24" s="9" t="s">
        <v>29</v>
      </c>
      <c r="B24" s="13">
        <v>2.5063057993396701E-2</v>
      </c>
      <c r="C24" s="13">
        <v>2.6088575143327901E-2</v>
      </c>
      <c r="D24" s="13">
        <v>3.2056712390885103E-2</v>
      </c>
      <c r="E24" s="13">
        <v>1.0561205383289401E-2</v>
      </c>
      <c r="F24" s="8" t="s">
        <v>91</v>
      </c>
    </row>
    <row r="25" spans="1:6" x14ac:dyDescent="0.2">
      <c r="A25" s="9" t="s">
        <v>82</v>
      </c>
      <c r="B25" s="13">
        <v>3.3859563431838999E-4</v>
      </c>
      <c r="C25" s="13">
        <v>3.9260357040591997E-4</v>
      </c>
      <c r="D25" s="13">
        <v>1.1681504090161501E-4</v>
      </c>
      <c r="E25" s="13">
        <v>1.3746997822184E-5</v>
      </c>
      <c r="F25" s="8" t="s">
        <v>91</v>
      </c>
    </row>
    <row r="26" spans="1:6" x14ac:dyDescent="0.2">
      <c r="A26" s="9" t="s">
        <v>83</v>
      </c>
      <c r="B26" s="13">
        <v>1.8826584383767799E-2</v>
      </c>
      <c r="C26" s="13">
        <v>2.15946316267339E-2</v>
      </c>
      <c r="D26" s="13">
        <v>6.0305011506486799E-3</v>
      </c>
      <c r="E26" s="13">
        <v>3.2402400425910402E-3</v>
      </c>
      <c r="F26" s="8" t="s">
        <v>91</v>
      </c>
    </row>
    <row r="27" spans="1:6" x14ac:dyDescent="0.2">
      <c r="A27" s="6" t="s">
        <v>2</v>
      </c>
      <c r="B27" s="14">
        <v>4.3585294020426088E-2</v>
      </c>
      <c r="C27" s="14">
        <v>2.0025697599287802E-2</v>
      </c>
      <c r="D27" s="14">
        <v>0.38412280938518689</v>
      </c>
      <c r="E27" s="14">
        <v>3.9745011868215514E-3</v>
      </c>
      <c r="F27" s="8"/>
    </row>
    <row r="28" spans="1:6" x14ac:dyDescent="0.2">
      <c r="A28" s="9" t="s">
        <v>32</v>
      </c>
      <c r="B28" s="13">
        <v>1.8081821697616799E-2</v>
      </c>
      <c r="C28" s="13">
        <v>9.2128165209984098E-3</v>
      </c>
      <c r="D28" s="13">
        <v>0.14863748823727399</v>
      </c>
      <c r="E28" s="13">
        <v>1.4148266525340499E-3</v>
      </c>
      <c r="F28" s="8" t="s">
        <v>90</v>
      </c>
    </row>
    <row r="29" spans="1:6" x14ac:dyDescent="0.2">
      <c r="A29" s="9" t="s">
        <v>33</v>
      </c>
      <c r="B29" s="13">
        <v>6.6247323274751697E-3</v>
      </c>
      <c r="C29" s="13">
        <v>1.9717537862866501E-3</v>
      </c>
      <c r="D29" s="13">
        <v>7.1904207854328994E-2</v>
      </c>
      <c r="E29" s="13">
        <v>2.7136432035463899E-4</v>
      </c>
      <c r="F29" s="8" t="s">
        <v>90</v>
      </c>
    </row>
    <row r="30" spans="1:6" x14ac:dyDescent="0.2">
      <c r="A30" s="9" t="s">
        <v>34</v>
      </c>
      <c r="B30" s="13">
        <v>3.6845707479273098E-3</v>
      </c>
      <c r="C30" s="13">
        <v>1.9098749633324899E-3</v>
      </c>
      <c r="D30" s="13">
        <v>2.98170183197628E-2</v>
      </c>
      <c r="E30" s="13">
        <v>3.4343388158832001E-4</v>
      </c>
      <c r="F30" s="8" t="s">
        <v>90</v>
      </c>
    </row>
    <row r="31" spans="1:6" x14ac:dyDescent="0.2">
      <c r="A31" s="9" t="s">
        <v>35</v>
      </c>
      <c r="B31" s="13">
        <v>3.1365954096131902E-4</v>
      </c>
      <c r="C31" s="13">
        <v>1.26203692897806E-4</v>
      </c>
      <c r="D31" s="13">
        <v>3.0211722234969101E-3</v>
      </c>
      <c r="E31" s="13">
        <v>0</v>
      </c>
      <c r="F31" s="8" t="s">
        <v>90</v>
      </c>
    </row>
    <row r="32" spans="1:6" x14ac:dyDescent="0.2">
      <c r="A32" s="9" t="s">
        <v>36</v>
      </c>
      <c r="B32" s="13">
        <v>1.13729080139627E-2</v>
      </c>
      <c r="C32" s="13">
        <v>3.7557893560260301E-3</v>
      </c>
      <c r="D32" s="13">
        <v>0.118662944606666</v>
      </c>
      <c r="E32" s="13">
        <v>6.5621721414504204E-4</v>
      </c>
      <c r="F32" s="8" t="s">
        <v>90</v>
      </c>
    </row>
    <row r="33" spans="1:10" x14ac:dyDescent="0.2">
      <c r="A33" s="9" t="s">
        <v>17</v>
      </c>
      <c r="B33" s="13">
        <v>3.5076016924827898E-3</v>
      </c>
      <c r="C33" s="13">
        <v>3.0492592797464199E-3</v>
      </c>
      <c r="D33" s="13">
        <v>1.20799781436582E-2</v>
      </c>
      <c r="E33" s="13">
        <v>1.2886591181995E-3</v>
      </c>
      <c r="F33" s="8" t="s">
        <v>91</v>
      </c>
    </row>
    <row r="34" spans="1:10" x14ac:dyDescent="0.2">
      <c r="A34" s="6" t="s">
        <v>3</v>
      </c>
      <c r="B34" s="12">
        <v>3.5415941629674291E-2</v>
      </c>
      <c r="C34" s="12">
        <v>2.9176591394335025E-2</v>
      </c>
      <c r="D34" s="12">
        <v>0.15492779508369678</v>
      </c>
      <c r="E34" s="12">
        <v>3.1144408302945792E-3</v>
      </c>
      <c r="F34" s="8"/>
    </row>
    <row r="35" spans="1:10" x14ac:dyDescent="0.2">
      <c r="A35" s="9" t="s">
        <v>11</v>
      </c>
      <c r="B35" s="13">
        <v>2.8338615479552198E-3</v>
      </c>
      <c r="C35" s="13">
        <v>2.3630642325262398E-3</v>
      </c>
      <c r="D35" s="13">
        <v>1.17339271411969E-2</v>
      </c>
      <c r="E35" s="13">
        <v>4.84155965481461E-4</v>
      </c>
      <c r="F35" s="8" t="s">
        <v>90</v>
      </c>
    </row>
    <row r="36" spans="1:10" x14ac:dyDescent="0.2">
      <c r="A36" s="9" t="s">
        <v>37</v>
      </c>
      <c r="B36" s="13">
        <v>4.7692720167173902E-3</v>
      </c>
      <c r="C36" s="13">
        <v>4.9650204242300102E-3</v>
      </c>
      <c r="D36" s="13">
        <v>8.4460731685781307E-3</v>
      </c>
      <c r="E36" s="13">
        <v>2.5944591612918003E-4</v>
      </c>
      <c r="F36" s="8" t="s">
        <v>90</v>
      </c>
    </row>
    <row r="37" spans="1:10" x14ac:dyDescent="0.2">
      <c r="A37" s="9" t="s">
        <v>14</v>
      </c>
      <c r="B37" s="13">
        <v>8.9085334526618103E-4</v>
      </c>
      <c r="C37" s="13">
        <v>8.2907970288727197E-4</v>
      </c>
      <c r="D37" s="13">
        <v>2.7928362527054498E-3</v>
      </c>
      <c r="E37" s="13">
        <v>3.6492307085382001E-5</v>
      </c>
      <c r="F37" s="8" t="s">
        <v>90</v>
      </c>
    </row>
    <row r="38" spans="1:10" x14ac:dyDescent="0.2">
      <c r="A38" s="9" t="s">
        <v>16</v>
      </c>
      <c r="B38" s="13">
        <v>1.1431915640920201E-3</v>
      </c>
      <c r="C38" s="13">
        <v>9.8669172584966709E-4</v>
      </c>
      <c r="D38" s="13">
        <v>4.3862134335367698E-3</v>
      </c>
      <c r="E38" s="13">
        <v>1.5051249429501599E-4</v>
      </c>
      <c r="F38" s="8" t="s">
        <v>90</v>
      </c>
    </row>
    <row r="39" spans="1:10" x14ac:dyDescent="0.2">
      <c r="A39" s="9" t="s">
        <v>38</v>
      </c>
      <c r="B39" s="13">
        <v>8.7490789874976709E-3</v>
      </c>
      <c r="C39" s="13">
        <v>5.2532348593744499E-3</v>
      </c>
      <c r="D39" s="13">
        <v>6.1911689821869398E-2</v>
      </c>
      <c r="E39" s="13">
        <v>9.1351671338278304E-4</v>
      </c>
      <c r="F39" s="8" t="s">
        <v>90</v>
      </c>
    </row>
    <row r="40" spans="1:10" x14ac:dyDescent="0.2">
      <c r="A40" s="9" t="s">
        <v>39</v>
      </c>
      <c r="B40" s="13">
        <v>1.40988715009384E-3</v>
      </c>
      <c r="C40" s="13">
        <v>1.0099817328030199E-3</v>
      </c>
      <c r="D40" s="13">
        <v>7.9794818334676196E-3</v>
      </c>
      <c r="E40" s="13">
        <v>1.5053387087615001E-4</v>
      </c>
      <c r="F40" s="8" t="s">
        <v>90</v>
      </c>
    </row>
    <row r="41" spans="1:10" x14ac:dyDescent="0.2">
      <c r="A41" s="9" t="s">
        <v>15</v>
      </c>
      <c r="B41" s="13">
        <v>8.0660718182520505E-3</v>
      </c>
      <c r="C41" s="13">
        <v>7.10372773599672E-3</v>
      </c>
      <c r="D41" s="13">
        <v>2.9772385340111701E-2</v>
      </c>
      <c r="E41" s="13">
        <v>6.4964585539425805E-4</v>
      </c>
      <c r="F41" s="8" t="s">
        <v>90</v>
      </c>
    </row>
    <row r="42" spans="1:10" x14ac:dyDescent="0.2">
      <c r="A42" s="9" t="s">
        <v>40</v>
      </c>
      <c r="B42" s="13">
        <v>4.4143836139529501E-3</v>
      </c>
      <c r="C42" s="13">
        <v>4.5312905873264803E-3</v>
      </c>
      <c r="D42" s="13">
        <v>8.5922111646782092E-3</v>
      </c>
      <c r="E42" s="13">
        <v>2.46933530476056E-4</v>
      </c>
      <c r="F42" s="8" t="s">
        <v>90</v>
      </c>
    </row>
    <row r="43" spans="1:10" x14ac:dyDescent="0.2">
      <c r="A43" s="9" t="s">
        <v>41</v>
      </c>
      <c r="B43" s="13">
        <v>2.7817297366634799E-3</v>
      </c>
      <c r="C43" s="13">
        <v>1.9946265648137099E-3</v>
      </c>
      <c r="D43" s="13">
        <v>1.5995944628310499E-2</v>
      </c>
      <c r="E43" s="13">
        <v>9.1978205627417294E-5</v>
      </c>
      <c r="F43" s="8" t="s">
        <v>90</v>
      </c>
    </row>
    <row r="44" spans="1:10" x14ac:dyDescent="0.2">
      <c r="A44" s="9" t="s">
        <v>42</v>
      </c>
      <c r="B44" s="13">
        <v>3.5761184918349699E-4</v>
      </c>
      <c r="C44" s="13">
        <v>1.39873828527457E-4</v>
      </c>
      <c r="D44" s="13">
        <v>3.31703229924211E-3</v>
      </c>
      <c r="E44" s="13">
        <v>1.3122597154687599E-4</v>
      </c>
      <c r="F44" s="8" t="s">
        <v>90</v>
      </c>
    </row>
    <row r="45" spans="1:10" x14ac:dyDescent="0.2">
      <c r="A45" s="6" t="s">
        <v>43</v>
      </c>
      <c r="B45" s="14">
        <v>0.43917758779923338</v>
      </c>
      <c r="C45" s="14">
        <v>0.51840756512583008</v>
      </c>
      <c r="D45" s="14">
        <v>3.9385144794837734E-2</v>
      </c>
      <c r="E45" s="14">
        <v>1.7985966972363536E-2</v>
      </c>
      <c r="F45" s="8"/>
      <c r="H45" s="25"/>
      <c r="I45" s="24"/>
      <c r="J45" s="25"/>
    </row>
    <row r="46" spans="1:10" x14ac:dyDescent="0.2">
      <c r="A46" s="9" t="s">
        <v>18</v>
      </c>
      <c r="B46" s="13">
        <v>6.0506967489805802E-2</v>
      </c>
      <c r="C46" s="13">
        <v>7.2025913170561603E-2</v>
      </c>
      <c r="D46" s="13">
        <v>7.7123367464932801E-4</v>
      </c>
      <c r="E46" s="13">
        <v>4.7000264467540601E-4</v>
      </c>
      <c r="F46" s="8" t="s">
        <v>101</v>
      </c>
    </row>
    <row r="47" spans="1:10" x14ac:dyDescent="0.2">
      <c r="A47" s="9" t="s">
        <v>12</v>
      </c>
      <c r="B47" s="13">
        <v>0.17982182990492601</v>
      </c>
      <c r="C47" s="13">
        <v>0.21146593111515699</v>
      </c>
      <c r="D47" s="13">
        <v>2.5619986288115799E-2</v>
      </c>
      <c r="E47" s="13">
        <v>7.5289083891740801E-3</v>
      </c>
      <c r="F47" s="8" t="s">
        <v>101</v>
      </c>
    </row>
    <row r="48" spans="1:10" x14ac:dyDescent="0.2">
      <c r="A48" s="9" t="s">
        <v>45</v>
      </c>
      <c r="B48" s="13">
        <v>2.2496040370428801E-2</v>
      </c>
      <c r="C48" s="13">
        <v>2.66231181980865E-2</v>
      </c>
      <c r="D48" s="13">
        <v>6.70458530411534E-4</v>
      </c>
      <c r="E48" s="13">
        <v>1.30030926361655E-3</v>
      </c>
      <c r="F48" s="30" t="s">
        <v>104</v>
      </c>
    </row>
    <row r="49" spans="1:6" x14ac:dyDescent="0.2">
      <c r="A49" s="9" t="s">
        <v>46</v>
      </c>
      <c r="B49" s="13">
        <v>2.83696909096487E-2</v>
      </c>
      <c r="C49" s="13">
        <v>3.3622262122376297E-2</v>
      </c>
      <c r="D49" s="13">
        <v>1.00667362821131E-3</v>
      </c>
      <c r="E49" s="13">
        <v>1.0853207502621899E-3</v>
      </c>
      <c r="F49" s="30" t="s">
        <v>104</v>
      </c>
    </row>
    <row r="50" spans="1:6" x14ac:dyDescent="0.2">
      <c r="A50" s="9" t="s">
        <v>50</v>
      </c>
      <c r="B50" s="13">
        <v>1.06423234481217E-2</v>
      </c>
      <c r="C50" s="13">
        <v>1.2246080965251999E-2</v>
      </c>
      <c r="D50" s="13">
        <v>1.5121927723765101E-3</v>
      </c>
      <c r="E50" s="13">
        <v>2.8883607881996501E-3</v>
      </c>
      <c r="F50" s="30" t="s">
        <v>104</v>
      </c>
    </row>
    <row r="51" spans="1:6" x14ac:dyDescent="0.2">
      <c r="A51" s="9" t="s">
        <v>44</v>
      </c>
      <c r="B51" s="13">
        <v>3.4735273600497898E-2</v>
      </c>
      <c r="C51" s="13">
        <v>4.1206065431384699E-2</v>
      </c>
      <c r="D51" s="13">
        <v>1.3833431221034101E-3</v>
      </c>
      <c r="E51" s="13">
        <v>8.5710714215465401E-4</v>
      </c>
      <c r="F51" s="8" t="s">
        <v>91</v>
      </c>
    </row>
    <row r="52" spans="1:6" x14ac:dyDescent="0.2">
      <c r="A52" s="9" t="s">
        <v>47</v>
      </c>
      <c r="B52" s="13">
        <v>1.2283628762136E-2</v>
      </c>
      <c r="C52" s="13">
        <v>1.4645156544233E-2</v>
      </c>
      <c r="D52" s="13">
        <v>3.8477068773898798E-6</v>
      </c>
      <c r="E52" s="13">
        <v>0</v>
      </c>
      <c r="F52" s="8" t="s">
        <v>91</v>
      </c>
    </row>
    <row r="53" spans="1:6" x14ac:dyDescent="0.2">
      <c r="A53" s="9" t="s">
        <v>48</v>
      </c>
      <c r="B53" s="13">
        <v>3.8193495847355402E-2</v>
      </c>
      <c r="C53" s="13">
        <v>4.5391767490473203E-2</v>
      </c>
      <c r="D53" s="13">
        <v>9.4358578034079896E-4</v>
      </c>
      <c r="E53" s="13">
        <v>6.1693003565439601E-4</v>
      </c>
      <c r="F53" s="8" t="s">
        <v>91</v>
      </c>
    </row>
    <row r="54" spans="1:6" x14ac:dyDescent="0.2">
      <c r="A54" s="9" t="s">
        <v>49</v>
      </c>
      <c r="B54" s="13">
        <v>1.75291221003765E-2</v>
      </c>
      <c r="C54" s="13">
        <v>2.0816006385875201E-2</v>
      </c>
      <c r="D54" s="13">
        <v>4.02429085816592E-4</v>
      </c>
      <c r="E54" s="13">
        <v>4.5831766905636199E-4</v>
      </c>
      <c r="F54" s="8" t="s">
        <v>91</v>
      </c>
    </row>
    <row r="55" spans="1:6" x14ac:dyDescent="0.2">
      <c r="A55" s="9" t="s">
        <v>51</v>
      </c>
      <c r="B55" s="13">
        <v>2.8393567407739299E-2</v>
      </c>
      <c r="C55" s="13">
        <v>3.3123483896542398E-2</v>
      </c>
      <c r="D55" s="13">
        <v>6.1704641673884604E-3</v>
      </c>
      <c r="E55" s="13">
        <v>2.02636639890486E-3</v>
      </c>
      <c r="F55" s="8" t="s">
        <v>91</v>
      </c>
    </row>
    <row r="56" spans="1:6" x14ac:dyDescent="0.2">
      <c r="A56" s="9" t="s">
        <v>19</v>
      </c>
      <c r="B56" s="13">
        <v>6.2056479581973001E-3</v>
      </c>
      <c r="C56" s="13">
        <v>7.2417798058882297E-3</v>
      </c>
      <c r="D56" s="13">
        <v>9.0093003854660404E-4</v>
      </c>
      <c r="E56" s="13">
        <v>7.5434389066538995E-4</v>
      </c>
      <c r="F56" s="8" t="s">
        <v>91</v>
      </c>
    </row>
    <row r="57" spans="1:6" x14ac:dyDescent="0.2">
      <c r="A57" s="6" t="s">
        <v>52</v>
      </c>
      <c r="B57" s="14">
        <v>8.8835357396984428E-3</v>
      </c>
      <c r="C57" s="14">
        <v>9.9190941983201136E-3</v>
      </c>
      <c r="D57" s="14">
        <v>7.4298462816776486E-3</v>
      </c>
      <c r="E57" s="14">
        <v>5.7326109457737689E-4</v>
      </c>
      <c r="F57" s="8"/>
    </row>
    <row r="58" spans="1:6" x14ac:dyDescent="0.2">
      <c r="A58" s="9" t="s">
        <v>53</v>
      </c>
      <c r="B58" s="13">
        <v>1.1886510802445399E-3</v>
      </c>
      <c r="C58" s="13">
        <v>1.25674724093291E-3</v>
      </c>
      <c r="D58" s="13">
        <v>1.89383034180195E-3</v>
      </c>
      <c r="E58" s="13">
        <v>4.6618078624804902E-5</v>
      </c>
      <c r="F58" s="30" t="s">
        <v>52</v>
      </c>
    </row>
    <row r="59" spans="1:6" x14ac:dyDescent="0.2">
      <c r="A59" s="9" t="s">
        <v>54</v>
      </c>
      <c r="B59" s="13">
        <v>2.1209203074141801E-3</v>
      </c>
      <c r="C59" s="13">
        <v>2.3093742607718198E-3</v>
      </c>
      <c r="D59" s="13">
        <v>2.06643633682253E-3</v>
      </c>
      <c r="E59" s="13">
        <v>4.5235986513553699E-4</v>
      </c>
      <c r="F59" s="30" t="s">
        <v>52</v>
      </c>
    </row>
    <row r="60" spans="1:6" x14ac:dyDescent="0.2">
      <c r="A60" s="9" t="s">
        <v>55</v>
      </c>
      <c r="B60" s="13">
        <v>2.5424251087653201E-5</v>
      </c>
      <c r="C60" s="13">
        <v>2.5579486494732801E-5</v>
      </c>
      <c r="D60" s="13">
        <v>5.7715603160848197E-5</v>
      </c>
      <c r="E60" s="13">
        <v>0</v>
      </c>
      <c r="F60" s="30" t="s">
        <v>52</v>
      </c>
    </row>
    <row r="61" spans="1:6" x14ac:dyDescent="0.2">
      <c r="A61" s="9" t="s">
        <v>56</v>
      </c>
      <c r="B61" s="13">
        <v>2.5682810021231601E-3</v>
      </c>
      <c r="C61" s="13">
        <v>3.0620990321127898E-3</v>
      </c>
      <c r="D61" s="13">
        <v>0</v>
      </c>
      <c r="E61" s="13">
        <v>0</v>
      </c>
      <c r="F61" s="30" t="s">
        <v>52</v>
      </c>
    </row>
    <row r="62" spans="1:6" x14ac:dyDescent="0.2">
      <c r="A62" s="9" t="s">
        <v>57</v>
      </c>
      <c r="B62" s="13">
        <v>2.9802590988289102E-3</v>
      </c>
      <c r="C62" s="13">
        <v>3.2652941780078599E-3</v>
      </c>
      <c r="D62" s="13">
        <v>3.4118639998923202E-3</v>
      </c>
      <c r="E62" s="13">
        <v>7.4283150817035001E-5</v>
      </c>
      <c r="F62" s="30" t="s">
        <v>52</v>
      </c>
    </row>
    <row r="63" spans="1:6" x14ac:dyDescent="0.2">
      <c r="A63" s="7" t="s">
        <v>58</v>
      </c>
      <c r="B63" s="12">
        <v>5.0837095220912294E-2</v>
      </c>
      <c r="C63" s="12">
        <v>6.0080954242565279E-2</v>
      </c>
      <c r="D63" s="12">
        <v>3.1768067833085317E-3</v>
      </c>
      <c r="E63" s="12">
        <v>2.4518005286654158E-3</v>
      </c>
      <c r="F63" s="8"/>
    </row>
    <row r="64" spans="1:6" x14ac:dyDescent="0.2">
      <c r="A64" s="9" t="s">
        <v>59</v>
      </c>
      <c r="B64" s="13">
        <v>7.6111537733945904E-3</v>
      </c>
      <c r="C64" s="13">
        <v>9.0559131576514792E-3</v>
      </c>
      <c r="D64" s="13">
        <v>1.4994370320368599E-4</v>
      </c>
      <c r="E64" s="13">
        <v>5.7893810976562803E-5</v>
      </c>
      <c r="F64" s="8" t="s">
        <v>105</v>
      </c>
    </row>
    <row r="65" spans="1:6" x14ac:dyDescent="0.2">
      <c r="A65" s="9" t="s">
        <v>60</v>
      </c>
      <c r="B65" s="13">
        <v>1.2961513059897701E-2</v>
      </c>
      <c r="C65" s="13">
        <v>1.53916628077786E-2</v>
      </c>
      <c r="D65" s="13">
        <v>6.6449181876165604E-5</v>
      </c>
      <c r="E65" s="13">
        <v>5.1316556093986302E-4</v>
      </c>
      <c r="F65" s="8" t="s">
        <v>105</v>
      </c>
    </row>
    <row r="66" spans="1:6" x14ac:dyDescent="0.2">
      <c r="A66" s="9" t="s">
        <v>61</v>
      </c>
      <c r="B66" s="13">
        <v>3.0264428387620002E-2</v>
      </c>
      <c r="C66" s="13">
        <v>3.5633378277135197E-2</v>
      </c>
      <c r="D66" s="13">
        <v>2.9604138982286801E-3</v>
      </c>
      <c r="E66" s="13">
        <v>1.8807411567489901E-3</v>
      </c>
      <c r="F66" s="8" t="s">
        <v>105</v>
      </c>
    </row>
    <row r="67" spans="1:6" x14ac:dyDescent="0.2">
      <c r="A67" s="7" t="s">
        <v>106</v>
      </c>
      <c r="B67" s="12">
        <v>3.9061120363626731E-3</v>
      </c>
      <c r="C67" s="12">
        <v>4.0707619661715048E-3</v>
      </c>
      <c r="D67" s="12">
        <v>6.2480489155837633E-3</v>
      </c>
      <c r="E67" s="12">
        <v>6.711112463191058E-4</v>
      </c>
      <c r="F67" s="8"/>
    </row>
    <row r="68" spans="1:6" x14ac:dyDescent="0.2">
      <c r="A68" s="9" t="s">
        <v>63</v>
      </c>
      <c r="B68" s="13">
        <v>1.08544460376918E-6</v>
      </c>
      <c r="C68" s="13">
        <v>1.08135829071581E-6</v>
      </c>
      <c r="D68" s="13">
        <v>0</v>
      </c>
      <c r="E68" s="13">
        <v>1.9297936992187601E-6</v>
      </c>
      <c r="F68" s="30" t="s">
        <v>92</v>
      </c>
    </row>
    <row r="69" spans="1:6" x14ac:dyDescent="0.2">
      <c r="A69" s="9" t="s">
        <v>64</v>
      </c>
      <c r="B69" s="13">
        <v>1.2192383636733599E-6</v>
      </c>
      <c r="C69" s="13">
        <v>0</v>
      </c>
      <c r="D69" s="13">
        <v>0</v>
      </c>
      <c r="E69" s="13">
        <v>1.31832677729796E-5</v>
      </c>
      <c r="F69" s="30" t="s">
        <v>92</v>
      </c>
    </row>
    <row r="70" spans="1:6" x14ac:dyDescent="0.2">
      <c r="A70" s="9" t="s">
        <v>65</v>
      </c>
      <c r="B70" s="13">
        <v>6.4440576144254804E-6</v>
      </c>
      <c r="C70" s="13">
        <v>0</v>
      </c>
      <c r="D70" s="13">
        <v>6.6127809554148706E-5</v>
      </c>
      <c r="E70" s="13">
        <v>2.0495697569101599E-5</v>
      </c>
      <c r="F70" s="30" t="s">
        <v>92</v>
      </c>
    </row>
    <row r="71" spans="1:6" x14ac:dyDescent="0.2">
      <c r="A71" s="9" t="s">
        <v>66</v>
      </c>
      <c r="B71" s="13">
        <v>6.8461811635322204E-5</v>
      </c>
      <c r="C71" s="13">
        <v>2.3548837697412101E-5</v>
      </c>
      <c r="D71" s="13">
        <v>5.7809842732856195E-4</v>
      </c>
      <c r="E71" s="13">
        <v>9.6738008071595998E-5</v>
      </c>
      <c r="F71" s="30" t="s">
        <v>92</v>
      </c>
    </row>
    <row r="72" spans="1:6" x14ac:dyDescent="0.2">
      <c r="A72" s="9" t="s">
        <v>21</v>
      </c>
      <c r="B72" s="13">
        <v>7.8085781599902804E-4</v>
      </c>
      <c r="C72" s="13">
        <v>6.8643393361531599E-4</v>
      </c>
      <c r="D72" s="13">
        <v>2.98213908542103E-3</v>
      </c>
      <c r="E72" s="13">
        <v>0</v>
      </c>
      <c r="F72" s="30" t="s">
        <v>92</v>
      </c>
    </row>
    <row r="73" spans="1:6" x14ac:dyDescent="0.2">
      <c r="A73" s="9" t="s">
        <v>67</v>
      </c>
      <c r="B73" s="13">
        <v>8.7682306466602399E-5</v>
      </c>
      <c r="C73" s="13">
        <v>1.6650616824982E-5</v>
      </c>
      <c r="D73" s="13">
        <v>1.07171510013994E-3</v>
      </c>
      <c r="E73" s="13">
        <v>0</v>
      </c>
      <c r="F73" s="30" t="s">
        <v>92</v>
      </c>
    </row>
    <row r="74" spans="1:6" x14ac:dyDescent="0.2">
      <c r="A74" s="9" t="s">
        <v>68</v>
      </c>
      <c r="B74" s="13">
        <v>9.18073789203288E-5</v>
      </c>
      <c r="C74" s="13">
        <v>1.04036595554771E-4</v>
      </c>
      <c r="D74" s="13">
        <v>6.6127809554148706E-5</v>
      </c>
      <c r="E74" s="13">
        <v>0</v>
      </c>
      <c r="F74" s="30" t="s">
        <v>92</v>
      </c>
    </row>
    <row r="75" spans="1:6" x14ac:dyDescent="0.2">
      <c r="A75" s="9" t="s">
        <v>69</v>
      </c>
      <c r="B75" s="13">
        <v>8.56558098915004E-4</v>
      </c>
      <c r="C75" s="13">
        <v>9.7515448695215904E-4</v>
      </c>
      <c r="D75" s="13">
        <v>3.5105818073732399E-4</v>
      </c>
      <c r="E75" s="13">
        <v>1.56972910171115E-4</v>
      </c>
      <c r="F75" s="30" t="s">
        <v>92</v>
      </c>
    </row>
    <row r="76" spans="1:6" x14ac:dyDescent="0.2">
      <c r="A76" s="9" t="s">
        <v>70</v>
      </c>
      <c r="B76" s="13">
        <v>7.1046602507985707E-5</v>
      </c>
      <c r="C76" s="13">
        <v>7.3210681534463602E-5</v>
      </c>
      <c r="D76" s="13">
        <v>1.40184370287509E-4</v>
      </c>
      <c r="E76" s="13">
        <v>0</v>
      </c>
      <c r="F76" s="30" t="s">
        <v>92</v>
      </c>
    </row>
    <row r="77" spans="1:6" x14ac:dyDescent="0.2">
      <c r="A77" s="9" t="s">
        <v>71</v>
      </c>
      <c r="B77" s="13">
        <v>1.6773984896572599E-5</v>
      </c>
      <c r="C77" s="13">
        <v>1.9999214600741799E-5</v>
      </c>
      <c r="D77" s="13">
        <v>0</v>
      </c>
      <c r="E77" s="13">
        <v>0</v>
      </c>
      <c r="F77" s="30" t="s">
        <v>92</v>
      </c>
    </row>
    <row r="78" spans="1:6" x14ac:dyDescent="0.2">
      <c r="A78" s="9" t="s">
        <v>72</v>
      </c>
      <c r="B78" s="13">
        <v>3.1322406034515E-5</v>
      </c>
      <c r="C78" s="13">
        <v>3.7344943611093498E-5</v>
      </c>
      <c r="D78" s="13">
        <v>0</v>
      </c>
      <c r="E78" s="13">
        <v>0</v>
      </c>
      <c r="F78" s="30" t="s">
        <v>92</v>
      </c>
    </row>
    <row r="79" spans="1:6" x14ac:dyDescent="0.2">
      <c r="A79" s="9" t="s">
        <v>73</v>
      </c>
      <c r="B79" s="13">
        <v>1.4316519203504601E-3</v>
      </c>
      <c r="C79" s="13">
        <v>1.6202930444791401E-3</v>
      </c>
      <c r="D79" s="13">
        <v>5.9141283537006699E-4</v>
      </c>
      <c r="E79" s="13">
        <v>3.4579291172481802E-4</v>
      </c>
      <c r="F79" s="30" t="s">
        <v>92</v>
      </c>
    </row>
    <row r="80" spans="1:6" x14ac:dyDescent="0.2">
      <c r="A80" s="9" t="s">
        <v>74</v>
      </c>
      <c r="B80" s="13">
        <v>4.6120097005498598E-4</v>
      </c>
      <c r="C80" s="13">
        <v>5.1300825301070995E-4</v>
      </c>
      <c r="D80" s="13">
        <v>4.0118529719103499E-4</v>
      </c>
      <c r="E80" s="13">
        <v>3.59986573102767E-5</v>
      </c>
      <c r="F80" s="30" t="s">
        <v>92</v>
      </c>
    </row>
    <row r="81" spans="1:6" x14ac:dyDescent="0.2">
      <c r="A81" s="7" t="s">
        <v>20</v>
      </c>
      <c r="B81" s="12">
        <v>7.9286756287802098E-3</v>
      </c>
      <c r="C81" s="12">
        <v>8.5762439240973792E-3</v>
      </c>
      <c r="D81" s="12">
        <v>9.2456323913783899E-3</v>
      </c>
      <c r="E81" s="12">
        <v>1.0764252285503E-3</v>
      </c>
      <c r="F81" s="8"/>
    </row>
    <row r="82" spans="1:6" x14ac:dyDescent="0.2">
      <c r="A82" s="9" t="s">
        <v>20</v>
      </c>
      <c r="B82" s="15">
        <v>7.9286756287802098E-3</v>
      </c>
      <c r="C82" s="15">
        <v>8.5762439240973792E-3</v>
      </c>
      <c r="D82" s="15">
        <v>9.2456323913783899E-3</v>
      </c>
      <c r="E82" s="15">
        <v>1.0764252285503E-3</v>
      </c>
      <c r="F82" s="8" t="s">
        <v>91</v>
      </c>
    </row>
    <row r="83" spans="1:6" x14ac:dyDescent="0.2">
      <c r="A83" s="6" t="s">
        <v>5</v>
      </c>
      <c r="B83" s="16">
        <v>1.0000000000000004</v>
      </c>
      <c r="C83" s="16">
        <v>0.99999999999999911</v>
      </c>
      <c r="D83" s="16">
        <v>1.0000000000000004</v>
      </c>
      <c r="E83" s="16">
        <v>1.0000000000000004</v>
      </c>
      <c r="F83" s="8"/>
    </row>
  </sheetData>
  <printOptions horizontalCentered="1"/>
  <pageMargins left="0.25" right="0.25" top="0.3" bottom="0.3" header="0.2" footer="0.15"/>
  <pageSetup scale="93" orientation="landscape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workbookViewId="0">
      <selection activeCell="F1" sqref="F1:F1048576"/>
    </sheetView>
  </sheetViews>
  <sheetFormatPr defaultColWidth="9.28515625" defaultRowHeight="12.75" x14ac:dyDescent="0.2"/>
  <cols>
    <col min="1" max="1" width="48.7109375" style="5" customWidth="1"/>
    <col min="2" max="2" width="9" style="5" bestFit="1" customWidth="1"/>
    <col min="3" max="5" width="8.85546875" style="5" bestFit="1" customWidth="1"/>
    <col min="6" max="6" width="35.85546875" style="5" customWidth="1"/>
    <col min="7" max="16384" width="9.28515625" style="5"/>
  </cols>
  <sheetData>
    <row r="1" spans="1:6" s="21" customFormat="1" ht="18.75" x14ac:dyDescent="0.2">
      <c r="A1" s="23" t="s">
        <v>93</v>
      </c>
      <c r="B1" s="22"/>
      <c r="C1" s="20"/>
      <c r="D1" s="20"/>
      <c r="E1" s="20"/>
      <c r="F1" s="5"/>
    </row>
    <row r="2" spans="1:6" ht="18.75" x14ac:dyDescent="0.2">
      <c r="A2" s="23" t="s">
        <v>95</v>
      </c>
      <c r="C2" s="11"/>
      <c r="D2" s="11"/>
      <c r="E2" s="11"/>
    </row>
    <row r="3" spans="1:6" ht="25.5" x14ac:dyDescent="0.2">
      <c r="A3" s="19" t="s">
        <v>4</v>
      </c>
      <c r="B3" s="18" t="s">
        <v>85</v>
      </c>
      <c r="C3" s="18" t="s">
        <v>86</v>
      </c>
      <c r="D3" s="18" t="s">
        <v>88</v>
      </c>
      <c r="E3" s="18" t="s">
        <v>87</v>
      </c>
      <c r="F3" s="17" t="s">
        <v>100</v>
      </c>
    </row>
    <row r="4" spans="1:6" x14ac:dyDescent="0.2">
      <c r="A4" s="6" t="s">
        <v>0</v>
      </c>
      <c r="B4" s="12">
        <v>0.22950164949199323</v>
      </c>
      <c r="C4" s="12">
        <v>0.19293837210506307</v>
      </c>
      <c r="D4" s="12">
        <v>6.7728341211134011E-2</v>
      </c>
      <c r="E4" s="12">
        <v>0.93544342624899302</v>
      </c>
      <c r="F4" s="29"/>
    </row>
    <row r="5" spans="1:6" x14ac:dyDescent="0.2">
      <c r="A5" s="9" t="s">
        <v>22</v>
      </c>
      <c r="B5" s="13">
        <v>2.2611758014441201E-2</v>
      </c>
      <c r="C5" s="13">
        <v>1.4486812919775599E-2</v>
      </c>
      <c r="D5" s="13">
        <v>4.1445256132618697E-3</v>
      </c>
      <c r="E5" s="13">
        <v>0.162225374793911</v>
      </c>
      <c r="F5" s="8" t="s">
        <v>89</v>
      </c>
    </row>
    <row r="6" spans="1:6" x14ac:dyDescent="0.2">
      <c r="A6" s="9" t="s">
        <v>23</v>
      </c>
      <c r="B6" s="13">
        <v>3.7394677441169498E-2</v>
      </c>
      <c r="C6" s="13">
        <v>1.44174725044747E-2</v>
      </c>
      <c r="D6" s="13">
        <v>3.7507464576075401E-3</v>
      </c>
      <c r="E6" s="13">
        <v>0.41387600168705202</v>
      </c>
      <c r="F6" s="8" t="s">
        <v>89</v>
      </c>
    </row>
    <row r="7" spans="1:6" x14ac:dyDescent="0.2">
      <c r="A7" s="9" t="s">
        <v>13</v>
      </c>
      <c r="B7" s="13">
        <v>1.0927850387578699E-2</v>
      </c>
      <c r="C7" s="13">
        <v>7.4860979134407203E-3</v>
      </c>
      <c r="D7" s="13">
        <v>1.5111275098235099E-3</v>
      </c>
      <c r="E7" s="13">
        <v>7.1642191633756402E-2</v>
      </c>
      <c r="F7" s="8" t="s">
        <v>89</v>
      </c>
    </row>
    <row r="8" spans="1:6" x14ac:dyDescent="0.2">
      <c r="A8" s="9" t="s">
        <v>24</v>
      </c>
      <c r="B8" s="13">
        <v>7.9276530695072497E-2</v>
      </c>
      <c r="C8" s="13">
        <v>7.0887239949859002E-2</v>
      </c>
      <c r="D8" s="13">
        <v>2.0218098523127202E-2</v>
      </c>
      <c r="E8" s="13">
        <v>0.26291169817108201</v>
      </c>
      <c r="F8" s="8" t="s">
        <v>89</v>
      </c>
    </row>
    <row r="9" spans="1:6" x14ac:dyDescent="0.2">
      <c r="A9" s="9" t="s">
        <v>79</v>
      </c>
      <c r="B9" s="13">
        <v>6.5053810131276799E-2</v>
      </c>
      <c r="C9" s="13">
        <v>7.2592747472354696E-2</v>
      </c>
      <c r="D9" s="13">
        <v>4.4938077243272699E-3</v>
      </c>
      <c r="E9" s="13">
        <v>1.22119550630727E-2</v>
      </c>
      <c r="F9" s="8" t="s">
        <v>101</v>
      </c>
    </row>
    <row r="10" spans="1:6" x14ac:dyDescent="0.2">
      <c r="A10" s="9" t="s">
        <v>25</v>
      </c>
      <c r="B10" s="13">
        <v>8.8145869130606003E-3</v>
      </c>
      <c r="C10" s="13">
        <v>8.8595715242073599E-3</v>
      </c>
      <c r="D10" s="13">
        <v>7.2169874752548201E-3</v>
      </c>
      <c r="E10" s="13">
        <v>9.7197193359150405E-3</v>
      </c>
      <c r="F10" s="8" t="s">
        <v>91</v>
      </c>
    </row>
    <row r="11" spans="1:6" x14ac:dyDescent="0.2">
      <c r="A11" s="9" t="s">
        <v>26</v>
      </c>
      <c r="B11" s="13">
        <v>5.4224359093939002E-3</v>
      </c>
      <c r="C11" s="13">
        <v>4.2084298209510004E-3</v>
      </c>
      <c r="D11" s="13">
        <v>2.6393047907731799E-2</v>
      </c>
      <c r="E11" s="13">
        <v>2.8564855642038301E-3</v>
      </c>
      <c r="F11" s="8" t="s">
        <v>90</v>
      </c>
    </row>
    <row r="12" spans="1:6" x14ac:dyDescent="0.2">
      <c r="A12" s="6" t="s">
        <v>1</v>
      </c>
      <c r="B12" s="14">
        <v>0.15703061153415443</v>
      </c>
      <c r="C12" s="14">
        <v>0.15069005714747327</v>
      </c>
      <c r="D12" s="14">
        <v>0.38346411067314284</v>
      </c>
      <c r="E12" s="14">
        <v>2.8215942640236181E-2</v>
      </c>
      <c r="F12" s="8"/>
    </row>
    <row r="13" spans="1:6" x14ac:dyDescent="0.2">
      <c r="A13" s="9" t="s">
        <v>75</v>
      </c>
      <c r="B13" s="13">
        <v>1.7539075484454901E-2</v>
      </c>
      <c r="C13" s="13">
        <v>1.22305824834482E-2</v>
      </c>
      <c r="D13" s="13">
        <v>0.11400694114504301</v>
      </c>
      <c r="E13" s="13">
        <v>1.61036770062498E-3</v>
      </c>
      <c r="F13" s="8" t="s">
        <v>90</v>
      </c>
    </row>
    <row r="14" spans="1:6" x14ac:dyDescent="0.2">
      <c r="A14" s="10" t="s">
        <v>27</v>
      </c>
      <c r="B14" s="13">
        <v>5.9979090976432477E-3</v>
      </c>
      <c r="C14" s="13">
        <v>2.9816378579361311E-3</v>
      </c>
      <c r="D14" s="13">
        <v>5.7310618313931909E-2</v>
      </c>
      <c r="E14" s="13">
        <v>4.025919251562442E-4</v>
      </c>
      <c r="F14" s="8" t="s">
        <v>90</v>
      </c>
    </row>
    <row r="15" spans="1:6" x14ac:dyDescent="0.2">
      <c r="A15" s="10" t="s">
        <v>28</v>
      </c>
      <c r="B15" s="13">
        <v>4.8089017073655845E-3</v>
      </c>
      <c r="C15" s="13">
        <v>2.8536247835345809E-3</v>
      </c>
      <c r="D15" s="13">
        <v>3.9230248382063057E-2</v>
      </c>
      <c r="E15" s="13">
        <v>3.8342088110118499E-5</v>
      </c>
      <c r="F15" s="8" t="s">
        <v>90</v>
      </c>
    </row>
    <row r="16" spans="1:6" x14ac:dyDescent="0.2">
      <c r="A16" s="9" t="s">
        <v>76</v>
      </c>
      <c r="B16" s="13">
        <v>1.2290118702280499E-3</v>
      </c>
      <c r="C16" s="13">
        <v>8.7475600841059999E-4</v>
      </c>
      <c r="D16" s="13">
        <v>7.7377604086076796E-3</v>
      </c>
      <c r="E16" s="13">
        <v>9.5855220275296196E-5</v>
      </c>
      <c r="F16" s="8" t="s">
        <v>90</v>
      </c>
    </row>
    <row r="17" spans="1:6" x14ac:dyDescent="0.2">
      <c r="A17" s="9" t="s">
        <v>77</v>
      </c>
      <c r="B17" s="13">
        <v>1.36544529832418E-2</v>
      </c>
      <c r="C17" s="13">
        <v>1.2726633150251399E-2</v>
      </c>
      <c r="D17" s="13">
        <v>3.9564960665542798E-2</v>
      </c>
      <c r="E17" s="13">
        <v>1.9362754495609799E-3</v>
      </c>
      <c r="F17" s="8" t="s">
        <v>102</v>
      </c>
    </row>
    <row r="18" spans="1:6" x14ac:dyDescent="0.2">
      <c r="A18" s="9" t="s">
        <v>84</v>
      </c>
      <c r="B18" s="13">
        <v>3.4176800932101399E-3</v>
      </c>
      <c r="C18" s="13">
        <v>3.6217032299438899E-3</v>
      </c>
      <c r="D18" s="13">
        <v>3.22898907636555E-3</v>
      </c>
      <c r="E18" s="13">
        <v>5.5596027759671795E-4</v>
      </c>
      <c r="F18" s="8" t="s">
        <v>102</v>
      </c>
    </row>
    <row r="19" spans="1:6" x14ac:dyDescent="0.2">
      <c r="A19" s="9" t="s">
        <v>30</v>
      </c>
      <c r="B19" s="13">
        <v>4.3140901111412304E-3</v>
      </c>
      <c r="C19" s="13">
        <v>4.5978029222557204E-3</v>
      </c>
      <c r="D19" s="13">
        <v>4.3906375855458299E-3</v>
      </c>
      <c r="E19" s="13">
        <v>0</v>
      </c>
      <c r="F19" s="8" t="s">
        <v>102</v>
      </c>
    </row>
    <row r="20" spans="1:6" x14ac:dyDescent="0.2">
      <c r="A20" s="9" t="s">
        <v>78</v>
      </c>
      <c r="B20" s="13">
        <v>1.38338732491993E-2</v>
      </c>
      <c r="C20" s="13">
        <v>1.1969222456545E-2</v>
      </c>
      <c r="D20" s="13">
        <v>5.3947744324643797E-2</v>
      </c>
      <c r="E20" s="13">
        <v>2.08964380200146E-3</v>
      </c>
      <c r="F20" s="8" t="s">
        <v>102</v>
      </c>
    </row>
    <row r="21" spans="1:6" x14ac:dyDescent="0.2">
      <c r="A21" s="9" t="s">
        <v>31</v>
      </c>
      <c r="B21" s="13">
        <v>7.7233313095867399E-3</v>
      </c>
      <c r="C21" s="13">
        <v>7.4247583152899704E-3</v>
      </c>
      <c r="D21" s="13">
        <v>1.8783265724711801E-2</v>
      </c>
      <c r="E21" s="13">
        <v>1.2652889076339099E-3</v>
      </c>
      <c r="F21" s="8" t="s">
        <v>102</v>
      </c>
    </row>
    <row r="22" spans="1:6" x14ac:dyDescent="0.2">
      <c r="A22" s="9" t="s">
        <v>80</v>
      </c>
      <c r="B22" s="13">
        <v>8.9458720548029405E-3</v>
      </c>
      <c r="C22" s="13">
        <v>9.9583504128206799E-3</v>
      </c>
      <c r="D22" s="13">
        <v>1.0740326470472E-3</v>
      </c>
      <c r="E22" s="13">
        <v>1.59119665656992E-3</v>
      </c>
      <c r="F22" s="8" t="s">
        <v>91</v>
      </c>
    </row>
    <row r="23" spans="1:6" x14ac:dyDescent="0.2">
      <c r="A23" s="9" t="s">
        <v>81</v>
      </c>
      <c r="B23" s="13">
        <v>2.4927318539509299E-2</v>
      </c>
      <c r="C23" s="13">
        <v>2.7661491826935201E-2</v>
      </c>
      <c r="D23" s="13">
        <v>7.1313405089000002E-3</v>
      </c>
      <c r="E23" s="13">
        <v>1.64870978873509E-3</v>
      </c>
      <c r="F23" s="8" t="s">
        <v>103</v>
      </c>
    </row>
    <row r="24" spans="1:6" x14ac:dyDescent="0.2">
      <c r="A24" s="9" t="s">
        <v>29</v>
      </c>
      <c r="B24" s="13">
        <v>3.0767662786528299E-2</v>
      </c>
      <c r="C24" s="13">
        <v>3.1749909390634802E-2</v>
      </c>
      <c r="D24" s="13">
        <v>3.3887649687722898E-2</v>
      </c>
      <c r="E24" s="13">
        <v>1.3013304704574199E-2</v>
      </c>
      <c r="F24" s="8" t="s">
        <v>91</v>
      </c>
    </row>
    <row r="25" spans="1:6" x14ac:dyDescent="0.2">
      <c r="A25" s="9" t="s">
        <v>82</v>
      </c>
      <c r="B25" s="13">
        <v>4.9217713170413501E-4</v>
      </c>
      <c r="C25" s="13">
        <v>5.44055566206593E-4</v>
      </c>
      <c r="D25" s="13">
        <v>1.2797822558765901E-4</v>
      </c>
      <c r="E25" s="13">
        <v>7.6684176220236997E-5</v>
      </c>
      <c r="F25" s="8" t="s">
        <v>91</v>
      </c>
    </row>
    <row r="26" spans="1:6" x14ac:dyDescent="0.2">
      <c r="A26" s="9" t="s">
        <v>83</v>
      </c>
      <c r="B26" s="13">
        <v>1.9379255115538799E-2</v>
      </c>
      <c r="C26" s="13">
        <v>2.1495528743260502E-2</v>
      </c>
      <c r="D26" s="13">
        <v>3.0419439774297401E-3</v>
      </c>
      <c r="E26" s="13">
        <v>3.8917219431770299E-3</v>
      </c>
      <c r="F26" s="8" t="s">
        <v>91</v>
      </c>
    </row>
    <row r="27" spans="1:6" x14ac:dyDescent="0.2">
      <c r="A27" s="6" t="s">
        <v>2</v>
      </c>
      <c r="B27" s="14">
        <v>4.1857611863201478E-2</v>
      </c>
      <c r="C27" s="14">
        <v>2.4794532348150454E-2</v>
      </c>
      <c r="D27" s="14">
        <v>0.3357676104433383</v>
      </c>
      <c r="E27" s="14">
        <v>6.6178444078064539E-3</v>
      </c>
      <c r="F27" s="8"/>
    </row>
    <row r="28" spans="1:6" x14ac:dyDescent="0.2">
      <c r="A28" s="9" t="s">
        <v>32</v>
      </c>
      <c r="B28" s="13">
        <v>1.96374264247389E-2</v>
      </c>
      <c r="C28" s="13">
        <v>1.23212584111493E-2</v>
      </c>
      <c r="D28" s="13">
        <v>0.146806775915271</v>
      </c>
      <c r="E28" s="13">
        <v>3.3932747977454898E-3</v>
      </c>
      <c r="F28" s="8" t="s">
        <v>90</v>
      </c>
    </row>
    <row r="29" spans="1:6" x14ac:dyDescent="0.2">
      <c r="A29" s="9" t="s">
        <v>33</v>
      </c>
      <c r="B29" s="13">
        <v>3.3124624829728002E-3</v>
      </c>
      <c r="C29" s="13">
        <v>1.0827772543131201E-3</v>
      </c>
      <c r="D29" s="13">
        <v>4.0254074186764403E-2</v>
      </c>
      <c r="E29" s="13">
        <v>1.5336835244047399E-4</v>
      </c>
      <c r="F29" s="8" t="s">
        <v>90</v>
      </c>
    </row>
    <row r="30" spans="1:6" x14ac:dyDescent="0.2">
      <c r="A30" s="9" t="s">
        <v>34</v>
      </c>
      <c r="B30" s="13">
        <v>5.1278753731363001E-3</v>
      </c>
      <c r="C30" s="13">
        <v>3.5896999613435E-3</v>
      </c>
      <c r="D30" s="13">
        <v>3.35992064562061E-2</v>
      </c>
      <c r="E30" s="13">
        <v>0</v>
      </c>
      <c r="F30" s="8" t="s">
        <v>90</v>
      </c>
    </row>
    <row r="31" spans="1:6" x14ac:dyDescent="0.2">
      <c r="A31" s="9" t="s">
        <v>35</v>
      </c>
      <c r="B31" s="13">
        <v>3.8328841263204699E-4</v>
      </c>
      <c r="C31" s="13">
        <v>2.56026148803103E-4</v>
      </c>
      <c r="D31" s="13">
        <v>2.69738721623219E-3</v>
      </c>
      <c r="E31" s="13">
        <v>0</v>
      </c>
      <c r="F31" s="8" t="s">
        <v>90</v>
      </c>
    </row>
    <row r="32" spans="1:6" x14ac:dyDescent="0.2">
      <c r="A32" s="9" t="s">
        <v>36</v>
      </c>
      <c r="B32" s="13">
        <v>1.0550064277866899E-2</v>
      </c>
      <c r="C32" s="13">
        <v>5.2138658428131802E-3</v>
      </c>
      <c r="D32" s="13">
        <v>0.100295550945159</v>
      </c>
      <c r="E32" s="13">
        <v>1.67171504160117E-3</v>
      </c>
      <c r="F32" s="8" t="s">
        <v>90</v>
      </c>
    </row>
    <row r="33" spans="1:6" x14ac:dyDescent="0.2">
      <c r="A33" s="9" t="s">
        <v>17</v>
      </c>
      <c r="B33" s="13">
        <v>2.8464948918545301E-3</v>
      </c>
      <c r="C33" s="13">
        <v>2.33090472972825E-3</v>
      </c>
      <c r="D33" s="13">
        <v>1.2114615723705599E-2</v>
      </c>
      <c r="E33" s="13">
        <v>1.39948621601932E-3</v>
      </c>
      <c r="F33" s="8" t="s">
        <v>91</v>
      </c>
    </row>
    <row r="34" spans="1:6" x14ac:dyDescent="0.2">
      <c r="A34" s="6" t="s">
        <v>3</v>
      </c>
      <c r="B34" s="12">
        <v>3.9181451906935547E-2</v>
      </c>
      <c r="C34" s="12">
        <v>3.4425649339532169E-2</v>
      </c>
      <c r="D34" s="12">
        <v>0.14678068804620859</v>
      </c>
      <c r="E34" s="12">
        <v>4.0067482075073864E-3</v>
      </c>
      <c r="F34" s="8"/>
    </row>
    <row r="35" spans="1:6" x14ac:dyDescent="0.2">
      <c r="A35" s="9" t="s">
        <v>11</v>
      </c>
      <c r="B35" s="13">
        <v>3.5665593589585599E-3</v>
      </c>
      <c r="C35" s="13">
        <v>3.4510191307418202E-3</v>
      </c>
      <c r="D35" s="13">
        <v>8.5587899481469592E-3</v>
      </c>
      <c r="E35" s="13">
        <v>3.6424983704612602E-4</v>
      </c>
      <c r="F35" s="8" t="s">
        <v>90</v>
      </c>
    </row>
    <row r="36" spans="1:6" x14ac:dyDescent="0.2">
      <c r="A36" s="9" t="s">
        <v>37</v>
      </c>
      <c r="B36" s="13">
        <v>4.6816956453911802E-3</v>
      </c>
      <c r="C36" s="13">
        <v>4.6991466061569401E-3</v>
      </c>
      <c r="D36" s="13">
        <v>9.0628272673845094E-3</v>
      </c>
      <c r="E36" s="13">
        <v>9.5855220275296399E-5</v>
      </c>
      <c r="F36" s="8" t="s">
        <v>90</v>
      </c>
    </row>
    <row r="37" spans="1:6" x14ac:dyDescent="0.2">
      <c r="A37" s="9" t="s">
        <v>14</v>
      </c>
      <c r="B37" s="13">
        <v>2.1109395291759002E-3</v>
      </c>
      <c r="C37" s="13">
        <v>2.3573074263235701E-3</v>
      </c>
      <c r="D37" s="13">
        <v>4.6269050789384301E-4</v>
      </c>
      <c r="E37" s="13">
        <v>5.7513132165177697E-5</v>
      </c>
      <c r="F37" s="8" t="s">
        <v>90</v>
      </c>
    </row>
    <row r="38" spans="1:6" x14ac:dyDescent="0.2">
      <c r="A38" s="9" t="s">
        <v>16</v>
      </c>
      <c r="B38" s="13">
        <v>6.3363961558373803E-4</v>
      </c>
      <c r="C38" s="13">
        <v>5.2912070752641203E-4</v>
      </c>
      <c r="D38" s="13">
        <v>2.4881920397908301E-3</v>
      </c>
      <c r="E38" s="13">
        <v>3.6424983704612602E-4</v>
      </c>
      <c r="F38" s="8" t="s">
        <v>90</v>
      </c>
    </row>
    <row r="39" spans="1:6" x14ac:dyDescent="0.2">
      <c r="A39" s="9" t="s">
        <v>38</v>
      </c>
      <c r="B39" s="13">
        <v>1.22542627256855E-2</v>
      </c>
      <c r="C39" s="13">
        <v>8.7102229374055509E-3</v>
      </c>
      <c r="D39" s="13">
        <v>7.7289003776054493E-2</v>
      </c>
      <c r="E39" s="13">
        <v>9.9689429086308092E-4</v>
      </c>
      <c r="F39" s="8" t="s">
        <v>90</v>
      </c>
    </row>
    <row r="40" spans="1:6" x14ac:dyDescent="0.2">
      <c r="A40" s="9" t="s">
        <v>39</v>
      </c>
      <c r="B40" s="13">
        <v>1.34612806575371E-3</v>
      </c>
      <c r="C40" s="13">
        <v>8.5208702648532605E-4</v>
      </c>
      <c r="D40" s="13">
        <v>9.6810605417618194E-3</v>
      </c>
      <c r="E40" s="13">
        <v>4.98447145431541E-4</v>
      </c>
      <c r="F40" s="8" t="s">
        <v>90</v>
      </c>
    </row>
    <row r="41" spans="1:6" x14ac:dyDescent="0.2">
      <c r="A41" s="9" t="s">
        <v>15</v>
      </c>
      <c r="B41" s="13">
        <v>4.4684632819430399E-3</v>
      </c>
      <c r="C41" s="13">
        <v>3.78305304247084E-3</v>
      </c>
      <c r="D41" s="13">
        <v>1.9153418131026799E-2</v>
      </c>
      <c r="E41" s="13">
        <v>2.10881484605652E-4</v>
      </c>
      <c r="F41" s="8" t="s">
        <v>90</v>
      </c>
    </row>
    <row r="42" spans="1:6" x14ac:dyDescent="0.2">
      <c r="A42" s="9" t="s">
        <v>40</v>
      </c>
      <c r="B42" s="13">
        <v>1.90309198089978E-3</v>
      </c>
      <c r="C42" s="13">
        <v>1.87752509122275E-3</v>
      </c>
      <c r="D42" s="13">
        <v>4.1012099061398999E-3</v>
      </c>
      <c r="E42" s="13">
        <v>1.15026264330356E-4</v>
      </c>
      <c r="F42" s="8" t="s">
        <v>90</v>
      </c>
    </row>
    <row r="43" spans="1:6" x14ac:dyDescent="0.2">
      <c r="A43" s="9" t="s">
        <v>41</v>
      </c>
      <c r="B43" s="13">
        <v>7.8009004759043198E-3</v>
      </c>
      <c r="C43" s="13">
        <v>8.1661673711989607E-3</v>
      </c>
      <c r="D43" s="13">
        <v>1.0175253382108E-2</v>
      </c>
      <c r="E43" s="13">
        <v>0</v>
      </c>
      <c r="F43" s="8" t="s">
        <v>90</v>
      </c>
    </row>
    <row r="44" spans="1:6" x14ac:dyDescent="0.2">
      <c r="A44" s="9" t="s">
        <v>42</v>
      </c>
      <c r="B44" s="13">
        <v>4.1577122763981602E-4</v>
      </c>
      <c r="C44" s="13">
        <v>0</v>
      </c>
      <c r="D44" s="13">
        <v>5.8082425459014403E-3</v>
      </c>
      <c r="E44" s="13">
        <v>1.30363099574403E-3</v>
      </c>
      <c r="F44" s="8" t="s">
        <v>90</v>
      </c>
    </row>
    <row r="45" spans="1:6" x14ac:dyDescent="0.2">
      <c r="A45" s="6" t="s">
        <v>43</v>
      </c>
      <c r="B45" s="14">
        <v>0.46359396388474089</v>
      </c>
      <c r="C45" s="14">
        <v>0.52173488652125277</v>
      </c>
      <c r="D45" s="14">
        <v>3.7188503459995324E-2</v>
      </c>
      <c r="E45" s="14">
        <v>1.5954142862620306E-2</v>
      </c>
      <c r="F45" s="8"/>
    </row>
    <row r="46" spans="1:6" x14ac:dyDescent="0.2">
      <c r="A46" s="9" t="s">
        <v>18</v>
      </c>
      <c r="B46" s="13">
        <v>3.4646938346026002E-2</v>
      </c>
      <c r="C46" s="13">
        <v>3.9250675468850603E-2</v>
      </c>
      <c r="D46" s="13">
        <v>5.5129081791607003E-5</v>
      </c>
      <c r="E46" s="13">
        <v>1.9171044055059198E-5</v>
      </c>
      <c r="F46" s="8" t="s">
        <v>101</v>
      </c>
    </row>
    <row r="47" spans="1:6" x14ac:dyDescent="0.2">
      <c r="A47" s="9" t="s">
        <v>12</v>
      </c>
      <c r="B47" s="13">
        <v>0.190103749676829</v>
      </c>
      <c r="C47" s="13">
        <v>0.21328311664823499</v>
      </c>
      <c r="D47" s="13">
        <v>2.6837033905732E-2</v>
      </c>
      <c r="E47" s="13">
        <v>4.9959740807484403E-3</v>
      </c>
      <c r="F47" s="8" t="s">
        <v>101</v>
      </c>
    </row>
    <row r="48" spans="1:6" x14ac:dyDescent="0.2">
      <c r="A48" s="9" t="s">
        <v>45</v>
      </c>
      <c r="B48" s="13">
        <v>2.5455202834834899E-2</v>
      </c>
      <c r="C48" s="13">
        <v>2.8737601733623198E-2</v>
      </c>
      <c r="D48" s="13">
        <v>8.9584757911361098E-4</v>
      </c>
      <c r="E48" s="13">
        <v>6.6331812430504898E-4</v>
      </c>
      <c r="F48" s="30" t="s">
        <v>104</v>
      </c>
    </row>
    <row r="49" spans="1:6" x14ac:dyDescent="0.2">
      <c r="A49" s="9" t="s">
        <v>46</v>
      </c>
      <c r="B49" s="13">
        <v>3.6982976495269403E-2</v>
      </c>
      <c r="C49" s="13">
        <v>4.1848540797487101E-2</v>
      </c>
      <c r="D49" s="13">
        <v>6.3989112793829404E-4</v>
      </c>
      <c r="E49" s="13">
        <v>1.72539396495533E-4</v>
      </c>
      <c r="F49" s="30" t="s">
        <v>104</v>
      </c>
    </row>
    <row r="50" spans="1:6" x14ac:dyDescent="0.2">
      <c r="A50" s="9" t="s">
        <v>50</v>
      </c>
      <c r="B50" s="13">
        <v>1.2145290868920799E-2</v>
      </c>
      <c r="C50" s="13">
        <v>1.35576513547443E-2</v>
      </c>
      <c r="D50" s="13">
        <v>1.8901399471408101E-3</v>
      </c>
      <c r="E50" s="13">
        <v>1.16943368735861E-3</v>
      </c>
      <c r="F50" s="30" t="s">
        <v>104</v>
      </c>
    </row>
    <row r="51" spans="1:6" x14ac:dyDescent="0.2">
      <c r="A51" s="9" t="s">
        <v>44</v>
      </c>
      <c r="B51" s="13">
        <v>4.6183011657528097E-2</v>
      </c>
      <c r="C51" s="13">
        <v>5.21919972091325E-2</v>
      </c>
      <c r="D51" s="13">
        <v>7.2947588584965496E-4</v>
      </c>
      <c r="E51" s="13">
        <v>1.28445995168897E-3</v>
      </c>
      <c r="F51" s="8" t="s">
        <v>91</v>
      </c>
    </row>
    <row r="52" spans="1:6" x14ac:dyDescent="0.2">
      <c r="A52" s="9" t="s">
        <v>47</v>
      </c>
      <c r="B52" s="13">
        <v>1.3273284699282101E-2</v>
      </c>
      <c r="C52" s="13">
        <v>1.50388693031322E-2</v>
      </c>
      <c r="D52" s="13">
        <v>0</v>
      </c>
      <c r="E52" s="13">
        <v>0</v>
      </c>
      <c r="F52" s="8" t="s">
        <v>91</v>
      </c>
    </row>
    <row r="53" spans="1:6" x14ac:dyDescent="0.2">
      <c r="A53" s="9" t="s">
        <v>48</v>
      </c>
      <c r="B53" s="13">
        <v>4.0453921456599103E-2</v>
      </c>
      <c r="C53" s="13">
        <v>4.5608658164127701E-2</v>
      </c>
      <c r="D53" s="13">
        <v>1.2699377769852299E-3</v>
      </c>
      <c r="E53" s="13">
        <v>2.1279858901115801E-3</v>
      </c>
      <c r="F53" s="8" t="s">
        <v>91</v>
      </c>
    </row>
    <row r="54" spans="1:6" x14ac:dyDescent="0.2">
      <c r="A54" s="9" t="s">
        <v>49</v>
      </c>
      <c r="B54" s="13">
        <v>2.2129095617675999E-2</v>
      </c>
      <c r="C54" s="13">
        <v>2.50713606215438E-2</v>
      </c>
      <c r="D54" s="13">
        <v>1.9688957782716699E-5</v>
      </c>
      <c r="E54" s="13">
        <v>0</v>
      </c>
      <c r="F54" s="8" t="s">
        <v>91</v>
      </c>
    </row>
    <row r="55" spans="1:6" x14ac:dyDescent="0.2">
      <c r="A55" s="9" t="s">
        <v>51</v>
      </c>
      <c r="B55" s="13">
        <v>3.4389437818703697E-2</v>
      </c>
      <c r="C55" s="13">
        <v>3.8396721585030297E-2</v>
      </c>
      <c r="D55" s="13">
        <v>3.6109548573502498E-3</v>
      </c>
      <c r="E55" s="13">
        <v>4.9077872780951704E-3</v>
      </c>
      <c r="F55" s="8" t="s">
        <v>91</v>
      </c>
    </row>
    <row r="56" spans="1:6" x14ac:dyDescent="0.2">
      <c r="A56" s="9" t="s">
        <v>19</v>
      </c>
      <c r="B56" s="13">
        <v>7.8310544130718099E-3</v>
      </c>
      <c r="C56" s="13">
        <v>8.7496936353460304E-3</v>
      </c>
      <c r="D56" s="13">
        <v>1.24040434031115E-3</v>
      </c>
      <c r="E56" s="13">
        <v>6.1347340976189598E-4</v>
      </c>
      <c r="F56" s="8" t="s">
        <v>91</v>
      </c>
    </row>
    <row r="57" spans="1:6" x14ac:dyDescent="0.2">
      <c r="A57" s="6" t="s">
        <v>52</v>
      </c>
      <c r="B57" s="14">
        <v>6.6646447028466706E-3</v>
      </c>
      <c r="C57" s="14">
        <v>6.8593672366831244E-3</v>
      </c>
      <c r="D57" s="14">
        <v>1.0061057426968251E-2</v>
      </c>
      <c r="E57" s="14">
        <v>4.0259192515624403E-4</v>
      </c>
      <c r="F57" s="8"/>
    </row>
    <row r="58" spans="1:6" x14ac:dyDescent="0.2">
      <c r="A58" s="9" t="s">
        <v>53</v>
      </c>
      <c r="B58" s="13">
        <v>6.7999952369073003E-4</v>
      </c>
      <c r="C58" s="13">
        <v>6.8273639680827404E-4</v>
      </c>
      <c r="D58" s="13">
        <v>1.2108709036370801E-3</v>
      </c>
      <c r="E58" s="13">
        <v>1.15026264330355E-4</v>
      </c>
      <c r="F58" s="30" t="s">
        <v>52</v>
      </c>
    </row>
    <row r="59" spans="1:6" x14ac:dyDescent="0.2">
      <c r="A59" s="9" t="s">
        <v>54</v>
      </c>
      <c r="B59" s="13">
        <v>4.0085528821517304E-3</v>
      </c>
      <c r="C59" s="13">
        <v>4.1497571618502897E-3</v>
      </c>
      <c r="D59" s="13">
        <v>5.6408864047483402E-3</v>
      </c>
      <c r="E59" s="13">
        <v>2.8756566082588901E-4</v>
      </c>
      <c r="F59" s="30" t="s">
        <v>52</v>
      </c>
    </row>
    <row r="60" spans="1:6" x14ac:dyDescent="0.2">
      <c r="A60" s="9" t="s">
        <v>55</v>
      </c>
      <c r="B60" s="13">
        <v>0</v>
      </c>
      <c r="C60" s="13">
        <v>0</v>
      </c>
      <c r="D60" s="13">
        <v>0</v>
      </c>
      <c r="E60" s="13">
        <v>0</v>
      </c>
      <c r="F60" s="30" t="s">
        <v>52</v>
      </c>
    </row>
    <row r="61" spans="1:6" x14ac:dyDescent="0.2">
      <c r="A61" s="9" t="s">
        <v>56</v>
      </c>
      <c r="B61" s="13">
        <v>0</v>
      </c>
      <c r="C61" s="13">
        <v>0</v>
      </c>
      <c r="D61" s="13">
        <v>0</v>
      </c>
      <c r="E61" s="13">
        <v>0</v>
      </c>
      <c r="F61" s="30" t="s">
        <v>52</v>
      </c>
    </row>
    <row r="62" spans="1:6" x14ac:dyDescent="0.2">
      <c r="A62" s="9" t="s">
        <v>57</v>
      </c>
      <c r="B62" s="13">
        <v>1.9760922970042099E-3</v>
      </c>
      <c r="C62" s="13">
        <v>2.0268736780245599E-3</v>
      </c>
      <c r="D62" s="13">
        <v>3.2093001185828302E-3</v>
      </c>
      <c r="E62" s="13">
        <v>0</v>
      </c>
      <c r="F62" s="30" t="s">
        <v>52</v>
      </c>
    </row>
    <row r="63" spans="1:6" x14ac:dyDescent="0.2">
      <c r="A63" s="7" t="s">
        <v>58</v>
      </c>
      <c r="B63" s="12">
        <v>5.2201299494877479E-2</v>
      </c>
      <c r="C63" s="12">
        <v>5.852731092248422E-2</v>
      </c>
      <c r="D63" s="12">
        <v>1.210870903637079E-3</v>
      </c>
      <c r="E63" s="12">
        <v>8.0326674590698172E-3</v>
      </c>
      <c r="F63" s="8"/>
    </row>
    <row r="64" spans="1:6" x14ac:dyDescent="0.2">
      <c r="A64" s="9" t="s">
        <v>59</v>
      </c>
      <c r="B64" s="13">
        <v>2.5572928566747499E-3</v>
      </c>
      <c r="C64" s="13">
        <v>2.8322892711343198E-3</v>
      </c>
      <c r="D64" s="13">
        <v>4.0362363454569299E-4</v>
      </c>
      <c r="E64" s="13">
        <v>5.7513132165177704E-4</v>
      </c>
      <c r="F64" s="8" t="s">
        <v>105</v>
      </c>
    </row>
    <row r="65" spans="1:6" x14ac:dyDescent="0.2">
      <c r="A65" s="9" t="s">
        <v>60</v>
      </c>
      <c r="B65" s="13">
        <v>9.6089088789722294E-3</v>
      </c>
      <c r="C65" s="13">
        <v>1.0858442342206599E-2</v>
      </c>
      <c r="D65" s="13">
        <v>4.3315707121976803E-4</v>
      </c>
      <c r="E65" s="13">
        <v>0</v>
      </c>
      <c r="F65" s="8" t="s">
        <v>105</v>
      </c>
    </row>
    <row r="66" spans="1:6" x14ac:dyDescent="0.2">
      <c r="A66" s="9" t="s">
        <v>61</v>
      </c>
      <c r="B66" s="13">
        <v>4.0035097759230497E-2</v>
      </c>
      <c r="C66" s="13">
        <v>4.4836579309143303E-2</v>
      </c>
      <c r="D66" s="13">
        <v>3.7409019787161801E-4</v>
      </c>
      <c r="E66" s="13">
        <v>7.4575361374180403E-3</v>
      </c>
      <c r="F66" s="8" t="s">
        <v>105</v>
      </c>
    </row>
    <row r="67" spans="1:6" x14ac:dyDescent="0.2">
      <c r="A67" s="7" t="s">
        <v>62</v>
      </c>
      <c r="B67" s="12">
        <v>2.7775231664932962E-3</v>
      </c>
      <c r="C67" s="12">
        <v>2.8237550661742153E-3</v>
      </c>
      <c r="D67" s="12">
        <v>3.8039066436208685E-3</v>
      </c>
      <c r="E67" s="12">
        <v>1.0735784670833177E-3</v>
      </c>
      <c r="F67" s="8"/>
    </row>
    <row r="68" spans="1:6" x14ac:dyDescent="0.2">
      <c r="A68" s="9" t="s">
        <v>63</v>
      </c>
      <c r="B68" s="13">
        <v>1.13259226428633E-6</v>
      </c>
      <c r="C68" s="13">
        <v>0</v>
      </c>
      <c r="D68" s="13">
        <v>0</v>
      </c>
      <c r="E68" s="13">
        <v>1.9171044055059198E-5</v>
      </c>
      <c r="F68" s="30" t="s">
        <v>92</v>
      </c>
    </row>
    <row r="69" spans="1:6" x14ac:dyDescent="0.2">
      <c r="A69" s="9" t="s">
        <v>64</v>
      </c>
      <c r="B69" s="13">
        <v>0</v>
      </c>
      <c r="C69" s="13">
        <v>0</v>
      </c>
      <c r="D69" s="13">
        <v>0</v>
      </c>
      <c r="E69" s="13">
        <v>0</v>
      </c>
      <c r="F69" s="30" t="s">
        <v>92</v>
      </c>
    </row>
    <row r="70" spans="1:6" x14ac:dyDescent="0.2">
      <c r="A70" s="9" t="s">
        <v>65</v>
      </c>
      <c r="B70" s="13">
        <v>5.6629613214316696E-6</v>
      </c>
      <c r="C70" s="13">
        <v>0</v>
      </c>
      <c r="D70" s="13">
        <v>0</v>
      </c>
      <c r="E70" s="13">
        <v>9.5855220275296196E-5</v>
      </c>
      <c r="F70" s="30" t="s">
        <v>92</v>
      </c>
    </row>
    <row r="71" spans="1:6" x14ac:dyDescent="0.2">
      <c r="A71" s="9" t="s">
        <v>66</v>
      </c>
      <c r="B71" s="13">
        <v>6.9125851798288994E-5</v>
      </c>
      <c r="C71" s="13">
        <v>3.7337146700452498E-5</v>
      </c>
      <c r="D71" s="13">
        <v>6.2020217015557695E-4</v>
      </c>
      <c r="E71" s="13">
        <v>0</v>
      </c>
      <c r="F71" s="30" t="s">
        <v>92</v>
      </c>
    </row>
    <row r="72" spans="1:6" x14ac:dyDescent="0.2">
      <c r="A72" s="9" t="s">
        <v>21</v>
      </c>
      <c r="B72" s="13">
        <v>2.8133885982625301E-5</v>
      </c>
      <c r="C72" s="13">
        <v>0</v>
      </c>
      <c r="D72" s="13">
        <v>4.8237946567655999E-4</v>
      </c>
      <c r="E72" s="13">
        <v>0</v>
      </c>
      <c r="F72" s="30" t="s">
        <v>92</v>
      </c>
    </row>
    <row r="73" spans="1:6" x14ac:dyDescent="0.2">
      <c r="A73" s="9" t="s">
        <v>67</v>
      </c>
      <c r="B73" s="13">
        <v>7.3722264493246596E-5</v>
      </c>
      <c r="C73" s="13">
        <v>0</v>
      </c>
      <c r="D73" s="13">
        <v>1.26403108965041E-3</v>
      </c>
      <c r="E73" s="13">
        <v>0</v>
      </c>
      <c r="F73" s="30" t="s">
        <v>92</v>
      </c>
    </row>
    <row r="74" spans="1:6" x14ac:dyDescent="0.2">
      <c r="A74" s="9" t="s">
        <v>68</v>
      </c>
      <c r="B74" s="13">
        <v>1.17691830992039E-4</v>
      </c>
      <c r="C74" s="13">
        <v>1.33346952501616E-4</v>
      </c>
      <c r="D74" s="13">
        <v>0</v>
      </c>
      <c r="E74" s="13">
        <v>0</v>
      </c>
      <c r="F74" s="30" t="s">
        <v>92</v>
      </c>
    </row>
    <row r="75" spans="1:6" x14ac:dyDescent="0.2">
      <c r="A75" s="9" t="s">
        <v>69</v>
      </c>
      <c r="B75" s="13">
        <v>9.4135818203693305E-4</v>
      </c>
      <c r="C75" s="13">
        <v>9.8783422413197095E-4</v>
      </c>
      <c r="D75" s="13">
        <v>5.1191290235063497E-4</v>
      </c>
      <c r="E75" s="13">
        <v>6.7098654192707401E-4</v>
      </c>
      <c r="F75" s="30" t="s">
        <v>92</v>
      </c>
    </row>
    <row r="76" spans="1:6" x14ac:dyDescent="0.2">
      <c r="A76" s="9" t="s">
        <v>70</v>
      </c>
      <c r="B76" s="13">
        <v>7.5784779317861703E-6</v>
      </c>
      <c r="C76" s="13">
        <v>5.3338781000646401E-6</v>
      </c>
      <c r="D76" s="13">
        <v>4.9222394456791799E-5</v>
      </c>
      <c r="E76" s="13">
        <v>0</v>
      </c>
      <c r="F76" s="30" t="s">
        <v>92</v>
      </c>
    </row>
    <row r="77" spans="1:6" x14ac:dyDescent="0.2">
      <c r="A77" s="9" t="s">
        <v>71</v>
      </c>
      <c r="B77" s="13">
        <v>1.8830692958726199E-5</v>
      </c>
      <c r="C77" s="13">
        <v>2.1335512400258499E-5</v>
      </c>
      <c r="D77" s="13">
        <v>0</v>
      </c>
      <c r="E77" s="13">
        <v>0</v>
      </c>
      <c r="F77" s="30" t="s">
        <v>92</v>
      </c>
    </row>
    <row r="78" spans="1:6" x14ac:dyDescent="0.2">
      <c r="A78" s="9" t="s">
        <v>72</v>
      </c>
      <c r="B78" s="13">
        <v>8.4738118314267902E-5</v>
      </c>
      <c r="C78" s="13">
        <v>9.6009805801163501E-5</v>
      </c>
      <c r="D78" s="13">
        <v>0</v>
      </c>
      <c r="E78" s="13">
        <v>0</v>
      </c>
      <c r="F78" s="30" t="s">
        <v>92</v>
      </c>
    </row>
    <row r="79" spans="1:6" x14ac:dyDescent="0.2">
      <c r="A79" s="9" t="s">
        <v>73</v>
      </c>
      <c r="B79" s="13">
        <v>1.3782349430281301E-3</v>
      </c>
      <c r="C79" s="13">
        <v>1.53188979033856E-3</v>
      </c>
      <c r="D79" s="13">
        <v>1.77200620044451E-4</v>
      </c>
      <c r="E79" s="13">
        <v>2.68394616770829E-4</v>
      </c>
      <c r="F79" s="30" t="s">
        <v>92</v>
      </c>
    </row>
    <row r="80" spans="1:6" x14ac:dyDescent="0.2">
      <c r="A80" s="9" t="s">
        <v>74</v>
      </c>
      <c r="B80" s="13">
        <v>5.1313365371534997E-5</v>
      </c>
      <c r="C80" s="13">
        <v>1.0667756200129301E-5</v>
      </c>
      <c r="D80" s="13">
        <v>6.98958001286444E-4</v>
      </c>
      <c r="E80" s="13">
        <v>1.9171044055059198E-5</v>
      </c>
      <c r="F80" s="30" t="s">
        <v>92</v>
      </c>
    </row>
    <row r="81" spans="1:6" x14ac:dyDescent="0.2">
      <c r="A81" s="7" t="s">
        <v>20</v>
      </c>
      <c r="B81" s="12">
        <v>7.1912439547575403E-3</v>
      </c>
      <c r="C81" s="12">
        <v>7.2060693131873301E-3</v>
      </c>
      <c r="D81" s="12">
        <v>1.39949111919551E-2</v>
      </c>
      <c r="E81" s="12">
        <v>2.5305778152678198E-4</v>
      </c>
      <c r="F81" s="8"/>
    </row>
    <row r="82" spans="1:6" x14ac:dyDescent="0.2">
      <c r="A82" s="9" t="s">
        <v>20</v>
      </c>
      <c r="B82" s="15">
        <v>7.1912439547575403E-3</v>
      </c>
      <c r="C82" s="15">
        <v>7.2060693131873301E-3</v>
      </c>
      <c r="D82" s="15">
        <v>1.39949111919551E-2</v>
      </c>
      <c r="E82" s="26">
        <v>2.5305778152678198E-4</v>
      </c>
      <c r="F82" s="8" t="s">
        <v>91</v>
      </c>
    </row>
    <row r="83" spans="1:6" x14ac:dyDescent="0.2">
      <c r="A83" s="6" t="s">
        <v>5</v>
      </c>
      <c r="B83" s="16">
        <v>1.0000000000000004</v>
      </c>
      <c r="C83" s="16">
        <v>1.0000000000000004</v>
      </c>
      <c r="D83" s="16">
        <v>1.0000000000000004</v>
      </c>
      <c r="E83" s="27">
        <v>0.99999999999999944</v>
      </c>
      <c r="F83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workbookViewId="0">
      <selection activeCell="F1" sqref="F1:F1048576"/>
    </sheetView>
  </sheetViews>
  <sheetFormatPr defaultColWidth="9.28515625" defaultRowHeight="12.75" x14ac:dyDescent="0.2"/>
  <cols>
    <col min="1" max="1" width="48.7109375" style="5" customWidth="1"/>
    <col min="2" max="2" width="9" style="5" bestFit="1" customWidth="1"/>
    <col min="3" max="5" width="8.85546875" style="5" bestFit="1" customWidth="1"/>
    <col min="6" max="6" width="35.85546875" style="5" customWidth="1"/>
    <col min="7" max="16384" width="9.28515625" style="5"/>
  </cols>
  <sheetData>
    <row r="1" spans="1:6" s="21" customFormat="1" ht="18.75" x14ac:dyDescent="0.2">
      <c r="A1" s="23" t="s">
        <v>93</v>
      </c>
      <c r="B1" s="22"/>
      <c r="C1" s="20"/>
      <c r="D1" s="20"/>
      <c r="E1" s="20"/>
      <c r="F1" s="5"/>
    </row>
    <row r="2" spans="1:6" ht="18.75" x14ac:dyDescent="0.2">
      <c r="A2" s="23" t="s">
        <v>96</v>
      </c>
      <c r="C2" s="11"/>
      <c r="D2" s="11"/>
      <c r="E2" s="11"/>
    </row>
    <row r="3" spans="1:6" ht="25.5" x14ac:dyDescent="0.2">
      <c r="A3" s="19" t="s">
        <v>4</v>
      </c>
      <c r="B3" s="18" t="s">
        <v>85</v>
      </c>
      <c r="C3" s="18" t="s">
        <v>86</v>
      </c>
      <c r="D3" s="18" t="s">
        <v>88</v>
      </c>
      <c r="E3" s="18" t="s">
        <v>87</v>
      </c>
      <c r="F3" s="17" t="s">
        <v>100</v>
      </c>
    </row>
    <row r="4" spans="1:6" x14ac:dyDescent="0.2">
      <c r="A4" s="6" t="s">
        <v>0</v>
      </c>
      <c r="B4" s="12">
        <v>0.2599686490831945</v>
      </c>
      <c r="C4" s="12">
        <v>0.20191529987303491</v>
      </c>
      <c r="D4" s="12">
        <v>7.6461619496525482E-2</v>
      </c>
      <c r="E4" s="12">
        <v>0.94956053621075376</v>
      </c>
      <c r="F4" s="29"/>
    </row>
    <row r="5" spans="1:6" x14ac:dyDescent="0.2">
      <c r="A5" s="9" t="s">
        <v>22</v>
      </c>
      <c r="B5" s="13">
        <v>3.3527180657797299E-2</v>
      </c>
      <c r="C5" s="13">
        <v>1.409851612433E-2</v>
      </c>
      <c r="D5" s="13">
        <v>7.9252495139235692E-3</v>
      </c>
      <c r="E5" s="13">
        <v>0.23891600899587401</v>
      </c>
      <c r="F5" s="8" t="s">
        <v>89</v>
      </c>
    </row>
    <row r="6" spans="1:6" x14ac:dyDescent="0.2">
      <c r="A6" s="9" t="s">
        <v>23</v>
      </c>
      <c r="B6" s="13">
        <v>3.8451578729874002E-2</v>
      </c>
      <c r="C6" s="13">
        <v>1.35807933775465E-2</v>
      </c>
      <c r="D6" s="13">
        <v>3.71922028786094E-3</v>
      </c>
      <c r="E6" s="13">
        <v>0.30276074162834798</v>
      </c>
      <c r="F6" s="8" t="s">
        <v>89</v>
      </c>
    </row>
    <row r="7" spans="1:6" x14ac:dyDescent="0.2">
      <c r="A7" s="9" t="s">
        <v>13</v>
      </c>
      <c r="B7" s="13">
        <v>1.42225665442593E-2</v>
      </c>
      <c r="C7" s="13">
        <v>1.0113593856454901E-2</v>
      </c>
      <c r="D7" s="13">
        <v>4.2839186561748998E-4</v>
      </c>
      <c r="E7" s="13">
        <v>6.3602717651156104E-2</v>
      </c>
      <c r="F7" s="8" t="s">
        <v>89</v>
      </c>
    </row>
    <row r="8" spans="1:6" x14ac:dyDescent="0.2">
      <c r="A8" s="9" t="s">
        <v>24</v>
      </c>
      <c r="B8" s="13">
        <v>8.8594266175743605E-2</v>
      </c>
      <c r="C8" s="13">
        <v>6.8103170143283001E-2</v>
      </c>
      <c r="D8" s="13">
        <v>2.9476768017050799E-2</v>
      </c>
      <c r="E8" s="13">
        <v>0.32798932772960399</v>
      </c>
      <c r="F8" s="8" t="s">
        <v>89</v>
      </c>
    </row>
    <row r="9" spans="1:6" x14ac:dyDescent="0.2">
      <c r="A9" s="9" t="s">
        <v>79</v>
      </c>
      <c r="B9" s="13">
        <v>7.2762586802954707E-2</v>
      </c>
      <c r="C9" s="13">
        <v>8.4849100962506405E-2</v>
      </c>
      <c r="D9" s="13">
        <v>5.1884096633536504E-3</v>
      </c>
      <c r="E9" s="13">
        <v>4.2057481509465196E-3</v>
      </c>
      <c r="F9" s="8" t="s">
        <v>101</v>
      </c>
    </row>
    <row r="10" spans="1:6" x14ac:dyDescent="0.2">
      <c r="A10" s="9" t="s">
        <v>25</v>
      </c>
      <c r="B10" s="13">
        <v>8.2832715217288199E-3</v>
      </c>
      <c r="C10" s="13">
        <v>8.4601382628366594E-3</v>
      </c>
      <c r="D10" s="13">
        <v>4.1174299993099297E-3</v>
      </c>
      <c r="E10" s="13">
        <v>9.5330291421454293E-3</v>
      </c>
      <c r="F10" s="8" t="s">
        <v>91</v>
      </c>
    </row>
    <row r="11" spans="1:6" x14ac:dyDescent="0.2">
      <c r="A11" s="9" t="s">
        <v>26</v>
      </c>
      <c r="B11" s="13">
        <v>4.1271986508367798E-3</v>
      </c>
      <c r="C11" s="13">
        <v>2.7099871460774401E-3</v>
      </c>
      <c r="D11" s="13">
        <v>2.5606150149409101E-2</v>
      </c>
      <c r="E11" s="13">
        <v>2.55296291267981E-3</v>
      </c>
      <c r="F11" s="8" t="s">
        <v>90</v>
      </c>
    </row>
    <row r="12" spans="1:6" x14ac:dyDescent="0.2">
      <c r="A12" s="6" t="s">
        <v>1</v>
      </c>
      <c r="B12" s="14">
        <v>0.13874886221482582</v>
      </c>
      <c r="C12" s="14">
        <v>0.13765236391806035</v>
      </c>
      <c r="D12" s="14">
        <v>0.31585526975523864</v>
      </c>
      <c r="E12" s="14">
        <v>2.372041957133831E-2</v>
      </c>
      <c r="F12" s="8"/>
    </row>
    <row r="13" spans="1:6" x14ac:dyDescent="0.2">
      <c r="A13" s="9" t="s">
        <v>75</v>
      </c>
      <c r="B13" s="13">
        <v>1.29856528972325E-2</v>
      </c>
      <c r="C13" s="13">
        <v>8.4618525766698999E-3</v>
      </c>
      <c r="D13" s="13">
        <v>9.0608774049604907E-2</v>
      </c>
      <c r="E13" s="13">
        <v>1.53472914981908E-3</v>
      </c>
      <c r="F13" s="8" t="s">
        <v>90</v>
      </c>
    </row>
    <row r="14" spans="1:6" x14ac:dyDescent="0.2">
      <c r="A14" s="10" t="s">
        <v>27</v>
      </c>
      <c r="B14" s="13">
        <v>5.0370837773557565E-3</v>
      </c>
      <c r="C14" s="13">
        <v>2.7326160873275846E-3</v>
      </c>
      <c r="D14" s="13">
        <v>4.2790505667928871E-2</v>
      </c>
      <c r="E14" s="13">
        <v>4.7222435379048555E-4</v>
      </c>
      <c r="F14" s="8" t="s">
        <v>90</v>
      </c>
    </row>
    <row r="15" spans="1:6" x14ac:dyDescent="0.2">
      <c r="A15" s="10" t="s">
        <v>28</v>
      </c>
      <c r="B15" s="13">
        <v>3.7697968873557607E-3</v>
      </c>
      <c r="C15" s="13">
        <v>1.7760290253898271E-3</v>
      </c>
      <c r="D15" s="13">
        <v>3.5722039885240309E-2</v>
      </c>
      <c r="E15" s="13">
        <v>3.246542432309591E-4</v>
      </c>
      <c r="F15" s="8" t="s">
        <v>90</v>
      </c>
    </row>
    <row r="16" spans="1:6" x14ac:dyDescent="0.2">
      <c r="A16" s="9" t="s">
        <v>76</v>
      </c>
      <c r="B16" s="13">
        <v>1.2098509655325601E-3</v>
      </c>
      <c r="C16" s="13">
        <v>7.6629823778885198E-4</v>
      </c>
      <c r="D16" s="13">
        <v>8.8394766998663495E-3</v>
      </c>
      <c r="E16" s="13">
        <v>7.3785055279763405E-5</v>
      </c>
      <c r="F16" s="8" t="s">
        <v>90</v>
      </c>
    </row>
    <row r="17" spans="1:6" x14ac:dyDescent="0.2">
      <c r="A17" s="9" t="s">
        <v>77</v>
      </c>
      <c r="B17" s="13">
        <v>1.33888913973859E-2</v>
      </c>
      <c r="C17" s="13">
        <v>1.29080966687078E-2</v>
      </c>
      <c r="D17" s="13">
        <v>3.66177683312413E-2</v>
      </c>
      <c r="E17" s="13">
        <v>1.54948616087503E-3</v>
      </c>
      <c r="F17" s="8" t="s">
        <v>102</v>
      </c>
    </row>
    <row r="18" spans="1:6" x14ac:dyDescent="0.2">
      <c r="A18" s="9" t="s">
        <v>84</v>
      </c>
      <c r="B18" s="13">
        <v>6.2729568769895102E-3</v>
      </c>
      <c r="C18" s="13">
        <v>7.0739441798924304E-3</v>
      </c>
      <c r="D18" s="13">
        <v>3.6510670365127E-3</v>
      </c>
      <c r="E18" s="13">
        <v>4.1319630956667498E-4</v>
      </c>
      <c r="F18" s="8" t="s">
        <v>102</v>
      </c>
    </row>
    <row r="19" spans="1:6" x14ac:dyDescent="0.2">
      <c r="A19" s="9" t="s">
        <v>30</v>
      </c>
      <c r="B19" s="13">
        <v>2.9474908057821199E-3</v>
      </c>
      <c r="C19" s="13">
        <v>3.2194811869518201E-3</v>
      </c>
      <c r="D19" s="13">
        <v>3.4076625674118598E-3</v>
      </c>
      <c r="E19" s="13">
        <v>0</v>
      </c>
      <c r="F19" s="8" t="s">
        <v>102</v>
      </c>
    </row>
    <row r="20" spans="1:6" x14ac:dyDescent="0.2">
      <c r="A20" s="9" t="s">
        <v>78</v>
      </c>
      <c r="B20" s="13">
        <v>6.5481129854508702E-3</v>
      </c>
      <c r="C20" s="13">
        <v>5.8533528033696998E-3</v>
      </c>
      <c r="D20" s="13">
        <v>2.4515698127837299E-2</v>
      </c>
      <c r="E20" s="13">
        <v>5.0173837590239097E-4</v>
      </c>
      <c r="F20" s="8" t="s">
        <v>102</v>
      </c>
    </row>
    <row r="21" spans="1:6" x14ac:dyDescent="0.2">
      <c r="A21" s="9" t="s">
        <v>31</v>
      </c>
      <c r="B21" s="13">
        <v>9.0748197848762608E-3</v>
      </c>
      <c r="C21" s="13">
        <v>9.1364350297442696E-3</v>
      </c>
      <c r="D21" s="13">
        <v>1.88492420871696E-2</v>
      </c>
      <c r="E21" s="13">
        <v>1.54948616087503E-3</v>
      </c>
      <c r="F21" s="8" t="s">
        <v>102</v>
      </c>
    </row>
    <row r="22" spans="1:6" x14ac:dyDescent="0.2">
      <c r="A22" s="9" t="s">
        <v>80</v>
      </c>
      <c r="B22" s="13">
        <v>8.3973761535252305E-3</v>
      </c>
      <c r="C22" s="13">
        <v>9.6138714038476094E-3</v>
      </c>
      <c r="D22" s="13">
        <v>1.5431843340993701E-3</v>
      </c>
      <c r="E22" s="13">
        <v>1.53472914981908E-3</v>
      </c>
      <c r="F22" s="8" t="s">
        <v>91</v>
      </c>
    </row>
    <row r="23" spans="1:6" x14ac:dyDescent="0.2">
      <c r="A23" s="9" t="s">
        <v>81</v>
      </c>
      <c r="B23" s="13">
        <v>2.5687617427744901E-2</v>
      </c>
      <c r="C23" s="13">
        <v>2.9118475879110799E-2</v>
      </c>
      <c r="D23" s="13">
        <v>1.17788290687282E-2</v>
      </c>
      <c r="E23" s="13">
        <v>2.4880320640336198E-3</v>
      </c>
      <c r="F23" s="8" t="s">
        <v>103</v>
      </c>
    </row>
    <row r="24" spans="1:6" x14ac:dyDescent="0.2">
      <c r="A24" s="9" t="s">
        <v>29</v>
      </c>
      <c r="B24" s="13">
        <v>2.3354657259124698E-2</v>
      </c>
      <c r="C24" s="13">
        <v>2.4129822921693501E-2</v>
      </c>
      <c r="D24" s="13">
        <v>3.1212241881739801E-2</v>
      </c>
      <c r="E24" s="13">
        <v>1.0312199325899701E-2</v>
      </c>
      <c r="F24" s="8" t="s">
        <v>91</v>
      </c>
    </row>
    <row r="25" spans="1:6" x14ac:dyDescent="0.2">
      <c r="A25" s="9" t="s">
        <v>82</v>
      </c>
      <c r="B25" s="13">
        <v>3.86704013813382E-4</v>
      </c>
      <c r="C25" s="13">
        <v>4.4229294261638398E-4</v>
      </c>
      <c r="D25" s="13">
        <v>1.5577886022454199E-4</v>
      </c>
      <c r="E25" s="13">
        <v>1.4757011055952701E-5</v>
      </c>
      <c r="F25" s="8" t="s">
        <v>91</v>
      </c>
    </row>
    <row r="26" spans="1:6" x14ac:dyDescent="0.2">
      <c r="A26" s="9" t="s">
        <v>83</v>
      </c>
      <c r="B26" s="13">
        <v>1.96878509826564E-2</v>
      </c>
      <c r="C26" s="13">
        <v>2.2419794974949898E-2</v>
      </c>
      <c r="D26" s="13">
        <v>6.1630011576334397E-3</v>
      </c>
      <c r="E26" s="13">
        <v>2.95140221119054E-3</v>
      </c>
      <c r="F26" s="8" t="s">
        <v>91</v>
      </c>
    </row>
    <row r="27" spans="1:6" x14ac:dyDescent="0.2">
      <c r="A27" s="6" t="s">
        <v>2</v>
      </c>
      <c r="B27" s="14">
        <v>4.1873461207610839E-2</v>
      </c>
      <c r="C27" s="14">
        <v>1.9499461534070017E-2</v>
      </c>
      <c r="D27" s="14">
        <v>0.40052108028756656</v>
      </c>
      <c r="E27" s="14">
        <v>3.1550489637626857E-3</v>
      </c>
      <c r="F27" s="8"/>
    </row>
    <row r="28" spans="1:6" x14ac:dyDescent="0.2">
      <c r="A28" s="9" t="s">
        <v>32</v>
      </c>
      <c r="B28" s="13">
        <v>1.9175530672169299E-2</v>
      </c>
      <c r="C28" s="13">
        <v>9.0207188528969601E-3</v>
      </c>
      <c r="D28" s="13">
        <v>0.182923326618668</v>
      </c>
      <c r="E28" s="13">
        <v>9.1493468546906698E-4</v>
      </c>
      <c r="F28" s="8" t="s">
        <v>90</v>
      </c>
    </row>
    <row r="29" spans="1:6" x14ac:dyDescent="0.2">
      <c r="A29" s="9" t="s">
        <v>33</v>
      </c>
      <c r="B29" s="13">
        <v>6.3111373310189497E-3</v>
      </c>
      <c r="C29" s="13">
        <v>2.0743196145962201E-3</v>
      </c>
      <c r="D29" s="13">
        <v>7.2349544395535703E-2</v>
      </c>
      <c r="E29" s="13">
        <v>3.09897232175006E-4</v>
      </c>
      <c r="F29" s="8" t="s">
        <v>90</v>
      </c>
    </row>
    <row r="30" spans="1:6" x14ac:dyDescent="0.2">
      <c r="A30" s="9" t="s">
        <v>34</v>
      </c>
      <c r="B30" s="13">
        <v>3.8995723251044E-3</v>
      </c>
      <c r="C30" s="13">
        <v>1.8514588295569601E-3</v>
      </c>
      <c r="D30" s="13">
        <v>3.7231147593665498E-2</v>
      </c>
      <c r="E30" s="13">
        <v>0</v>
      </c>
      <c r="F30" s="8" t="s">
        <v>90</v>
      </c>
    </row>
    <row r="31" spans="1:6" x14ac:dyDescent="0.2">
      <c r="A31" s="9" t="s">
        <v>35</v>
      </c>
      <c r="B31" s="13">
        <v>2.7774728528658901E-4</v>
      </c>
      <c r="C31" s="13">
        <v>8.9144314015705405E-5</v>
      </c>
      <c r="D31" s="13">
        <v>3.23241134965925E-3</v>
      </c>
      <c r="E31" s="13">
        <v>0</v>
      </c>
      <c r="F31" s="8" t="s">
        <v>90</v>
      </c>
    </row>
    <row r="32" spans="1:6" x14ac:dyDescent="0.2">
      <c r="A32" s="9" t="s">
        <v>36</v>
      </c>
      <c r="B32" s="13">
        <v>9.3663920111710392E-3</v>
      </c>
      <c r="C32" s="13">
        <v>4.1700681508308303E-3</v>
      </c>
      <c r="D32" s="13">
        <v>9.2152932001580604E-2</v>
      </c>
      <c r="E32" s="13">
        <v>7.3489915058644296E-4</v>
      </c>
      <c r="F32" s="8" t="s">
        <v>90</v>
      </c>
    </row>
    <row r="33" spans="1:6" x14ac:dyDescent="0.2">
      <c r="A33" s="9" t="s">
        <v>17</v>
      </c>
      <c r="B33" s="13">
        <v>2.8430815828605601E-3</v>
      </c>
      <c r="C33" s="13">
        <v>2.2937517721733401E-3</v>
      </c>
      <c r="D33" s="13">
        <v>1.2631718328457499E-2</v>
      </c>
      <c r="E33" s="13">
        <v>1.1953178955321699E-3</v>
      </c>
      <c r="F33" s="8" t="s">
        <v>91</v>
      </c>
    </row>
    <row r="34" spans="1:6" x14ac:dyDescent="0.2">
      <c r="A34" s="6" t="s">
        <v>3</v>
      </c>
      <c r="B34" s="12">
        <v>3.2597269207190645E-2</v>
      </c>
      <c r="C34" s="12">
        <v>2.7236502265140829E-2</v>
      </c>
      <c r="D34" s="12">
        <v>0.14637760600999081</v>
      </c>
      <c r="E34" s="12">
        <v>3.5711966755405467E-3</v>
      </c>
      <c r="F34" s="8"/>
    </row>
    <row r="35" spans="1:6" x14ac:dyDescent="0.2">
      <c r="A35" s="9" t="s">
        <v>11</v>
      </c>
      <c r="B35" s="13">
        <v>2.5878272286300702E-3</v>
      </c>
      <c r="C35" s="13">
        <v>2.1891786345779999E-3</v>
      </c>
      <c r="D35" s="13">
        <v>1.1196605578638901E-2</v>
      </c>
      <c r="E35" s="13">
        <v>3.2465424323095899E-4</v>
      </c>
      <c r="F35" s="8" t="s">
        <v>90</v>
      </c>
    </row>
    <row r="36" spans="1:6" x14ac:dyDescent="0.2">
      <c r="A36" s="9" t="s">
        <v>37</v>
      </c>
      <c r="B36" s="13">
        <v>5.3852729537961696E-3</v>
      </c>
      <c r="C36" s="13">
        <v>5.4921469002329904E-3</v>
      </c>
      <c r="D36" s="13">
        <v>1.12355502936951E-2</v>
      </c>
      <c r="E36" s="13">
        <v>2.0659815478333801E-4</v>
      </c>
      <c r="F36" s="8" t="s">
        <v>90</v>
      </c>
    </row>
    <row r="37" spans="1:6" x14ac:dyDescent="0.2">
      <c r="A37" s="9" t="s">
        <v>14</v>
      </c>
      <c r="B37" s="13">
        <v>1.0455296195531101E-3</v>
      </c>
      <c r="C37" s="13">
        <v>6.2229588437886596E-4</v>
      </c>
      <c r="D37" s="13">
        <v>8.1881263405524894E-3</v>
      </c>
      <c r="E37" s="13">
        <v>5.9028044223810802E-5</v>
      </c>
      <c r="F37" s="8" t="s">
        <v>90</v>
      </c>
    </row>
    <row r="38" spans="1:6" x14ac:dyDescent="0.2">
      <c r="A38" s="9" t="s">
        <v>16</v>
      </c>
      <c r="B38" s="13">
        <v>9.32314986834716E-4</v>
      </c>
      <c r="C38" s="13">
        <v>7.6372676719224501E-4</v>
      </c>
      <c r="D38" s="13">
        <v>4.3715442650512099E-3</v>
      </c>
      <c r="E38" s="13">
        <v>1.18056088447622E-4</v>
      </c>
      <c r="F38" s="8" t="s">
        <v>90</v>
      </c>
    </row>
    <row r="39" spans="1:6" x14ac:dyDescent="0.2">
      <c r="A39" s="9" t="s">
        <v>38</v>
      </c>
      <c r="B39" s="13">
        <v>8.3511915526923997E-3</v>
      </c>
      <c r="C39" s="13">
        <v>5.2910578995783303E-3</v>
      </c>
      <c r="D39" s="13">
        <v>6.0422725409594202E-2</v>
      </c>
      <c r="E39" s="13">
        <v>9.1493468546906601E-4</v>
      </c>
      <c r="F39" s="8" t="s">
        <v>90</v>
      </c>
    </row>
    <row r="40" spans="1:6" x14ac:dyDescent="0.2">
      <c r="A40" s="9" t="s">
        <v>39</v>
      </c>
      <c r="B40" s="13">
        <v>1.2775912010934E-3</v>
      </c>
      <c r="C40" s="13">
        <v>9.5727278743018996E-4</v>
      </c>
      <c r="D40" s="13">
        <v>7.3488677310927699E-3</v>
      </c>
      <c r="E40" s="13">
        <v>5.9028044223810802E-5</v>
      </c>
      <c r="F40" s="8" t="s">
        <v>90</v>
      </c>
    </row>
    <row r="41" spans="1:6" x14ac:dyDescent="0.2">
      <c r="A41" s="9" t="s">
        <v>15</v>
      </c>
      <c r="B41" s="13">
        <v>5.8036710566976499E-3</v>
      </c>
      <c r="C41" s="13">
        <v>5.3515731742851498E-3</v>
      </c>
      <c r="D41" s="13">
        <v>1.8633098918607999E-2</v>
      </c>
      <c r="E41" s="13">
        <v>1.06250479602859E-3</v>
      </c>
      <c r="F41" s="8" t="s">
        <v>90</v>
      </c>
    </row>
    <row r="42" spans="1:6" x14ac:dyDescent="0.2">
      <c r="A42" s="9" t="s">
        <v>40</v>
      </c>
      <c r="B42" s="13">
        <v>5.5004102239663401E-3</v>
      </c>
      <c r="C42" s="13">
        <v>6.0138125685979702E-3</v>
      </c>
      <c r="D42" s="13">
        <v>5.5515691312521204E-3</v>
      </c>
      <c r="E42" s="13">
        <v>5.1649538695834401E-4</v>
      </c>
      <c r="F42" s="8" t="s">
        <v>90</v>
      </c>
    </row>
    <row r="43" spans="1:6" x14ac:dyDescent="0.2">
      <c r="A43" s="9" t="s">
        <v>41</v>
      </c>
      <c r="B43" s="13">
        <v>1.29571572444417E-3</v>
      </c>
      <c r="C43" s="13">
        <v>1.9543176534212299E-4</v>
      </c>
      <c r="D43" s="13">
        <v>1.7638061448923801E-2</v>
      </c>
      <c r="E43" s="13">
        <v>3.09897232175006E-4</v>
      </c>
      <c r="F43" s="8" t="s">
        <v>90</v>
      </c>
    </row>
    <row r="44" spans="1:6" x14ac:dyDescent="0.2">
      <c r="A44" s="9" t="s">
        <v>42</v>
      </c>
      <c r="B44" s="13">
        <v>4.17744659482622E-4</v>
      </c>
      <c r="C44" s="13">
        <v>3.6000588352496401E-4</v>
      </c>
      <c r="D44" s="13">
        <v>1.79145689258223E-3</v>
      </c>
      <c r="E44" s="13">
        <v>0</v>
      </c>
      <c r="F44" s="8" t="s">
        <v>90</v>
      </c>
    </row>
    <row r="45" spans="1:6" x14ac:dyDescent="0.2">
      <c r="A45" s="6" t="s">
        <v>43</v>
      </c>
      <c r="B45" s="14">
        <v>0.44507261870340553</v>
      </c>
      <c r="C45" s="14">
        <v>0.51970192198604115</v>
      </c>
      <c r="D45" s="14">
        <v>3.7004294628463531E-2</v>
      </c>
      <c r="E45" s="14">
        <v>1.5255798029643889E-2</v>
      </c>
      <c r="F45" s="8"/>
    </row>
    <row r="46" spans="1:6" x14ac:dyDescent="0.2">
      <c r="A46" s="9" t="s">
        <v>18</v>
      </c>
      <c r="B46" s="13">
        <v>4.85244735179719E-2</v>
      </c>
      <c r="C46" s="13">
        <v>5.7084075774076301E-2</v>
      </c>
      <c r="D46" s="13">
        <v>5.1407023874098904E-4</v>
      </c>
      <c r="E46" s="13">
        <v>8.2639261913335102E-5</v>
      </c>
      <c r="F46" s="8" t="s">
        <v>101</v>
      </c>
    </row>
    <row r="47" spans="1:6" x14ac:dyDescent="0.2">
      <c r="A47" s="9" t="s">
        <v>12</v>
      </c>
      <c r="B47" s="13">
        <v>0.186352304341317</v>
      </c>
      <c r="C47" s="13">
        <v>0.21666594094066399</v>
      </c>
      <c r="D47" s="13">
        <v>2.51495233653759E-2</v>
      </c>
      <c r="E47" s="13">
        <v>8.5384065969742306E-3</v>
      </c>
      <c r="F47" s="8" t="s">
        <v>101</v>
      </c>
    </row>
    <row r="48" spans="1:6" x14ac:dyDescent="0.2">
      <c r="A48" s="9" t="s">
        <v>45</v>
      </c>
      <c r="B48" s="13">
        <v>2.82467896317759E-2</v>
      </c>
      <c r="C48" s="13">
        <v>3.3131684323548703E-2</v>
      </c>
      <c r="D48" s="13">
        <v>1.8498739651664399E-4</v>
      </c>
      <c r="E48" s="13">
        <v>1.07135900266216E-3</v>
      </c>
      <c r="F48" s="30" t="s">
        <v>104</v>
      </c>
    </row>
    <row r="49" spans="1:6" x14ac:dyDescent="0.2">
      <c r="A49" s="9" t="s">
        <v>46</v>
      </c>
      <c r="B49" s="13">
        <v>3.0314273204172001E-2</v>
      </c>
      <c r="C49" s="13">
        <v>3.5404350036829797E-2</v>
      </c>
      <c r="D49" s="13">
        <v>1.22675852426827E-3</v>
      </c>
      <c r="E49" s="13">
        <v>1.88889741516194E-3</v>
      </c>
      <c r="F49" s="30" t="s">
        <v>104</v>
      </c>
    </row>
    <row r="50" spans="1:6" x14ac:dyDescent="0.2">
      <c r="A50" s="9" t="s">
        <v>50</v>
      </c>
      <c r="B50" s="13">
        <v>9.1684563982419292E-3</v>
      </c>
      <c r="C50" s="13">
        <v>1.0644173956221401E-2</v>
      </c>
      <c r="D50" s="13">
        <v>1.4604268146050799E-3</v>
      </c>
      <c r="E50" s="13">
        <v>4.1319630956667498E-4</v>
      </c>
      <c r="F50" s="30" t="s">
        <v>104</v>
      </c>
    </row>
    <row r="51" spans="1:6" x14ac:dyDescent="0.2">
      <c r="A51" s="9" t="s">
        <v>44</v>
      </c>
      <c r="B51" s="13">
        <v>3.34967032718161E-2</v>
      </c>
      <c r="C51" s="13">
        <v>3.9261898794486397E-2</v>
      </c>
      <c r="D51" s="13">
        <v>1.0125625914595201E-3</v>
      </c>
      <c r="E51" s="13">
        <v>9.7396272969287804E-4</v>
      </c>
      <c r="F51" s="8" t="s">
        <v>91</v>
      </c>
    </row>
    <row r="52" spans="1:6" x14ac:dyDescent="0.2">
      <c r="A52" s="9" t="s">
        <v>47</v>
      </c>
      <c r="B52" s="13">
        <v>1.3813040198498499E-2</v>
      </c>
      <c r="C52" s="13">
        <v>1.62628372098075E-2</v>
      </c>
      <c r="D52" s="13">
        <v>0</v>
      </c>
      <c r="E52" s="13">
        <v>0</v>
      </c>
      <c r="F52" s="8" t="s">
        <v>91</v>
      </c>
    </row>
    <row r="53" spans="1:6" x14ac:dyDescent="0.2">
      <c r="A53" s="9" t="s">
        <v>48</v>
      </c>
      <c r="B53" s="13">
        <v>4.0025900626797097E-2</v>
      </c>
      <c r="C53" s="13">
        <v>4.7045054564923E-2</v>
      </c>
      <c r="D53" s="13">
        <v>9.1520080381918398E-4</v>
      </c>
      <c r="E53" s="13">
        <v>1.18056088447622E-4</v>
      </c>
      <c r="F53" s="8" t="s">
        <v>91</v>
      </c>
    </row>
    <row r="54" spans="1:6" x14ac:dyDescent="0.2">
      <c r="A54" s="9" t="s">
        <v>49</v>
      </c>
      <c r="B54" s="13">
        <v>1.9685238061636801E-2</v>
      </c>
      <c r="C54" s="13">
        <v>2.3129520859613398E-2</v>
      </c>
      <c r="D54" s="13">
        <v>4.9265064546011404E-4</v>
      </c>
      <c r="E54" s="13">
        <v>1.03299077391669E-4</v>
      </c>
      <c r="F54" s="8" t="s">
        <v>91</v>
      </c>
    </row>
    <row r="55" spans="1:6" x14ac:dyDescent="0.2">
      <c r="A55" s="9" t="s">
        <v>51</v>
      </c>
      <c r="B55" s="13">
        <v>2.95119635306926E-2</v>
      </c>
      <c r="C55" s="13">
        <v>3.41937016799473E-2</v>
      </c>
      <c r="D55" s="13">
        <v>4.8213557239495698E-3</v>
      </c>
      <c r="E55" s="13">
        <v>1.9036544262179E-3</v>
      </c>
      <c r="F55" s="8" t="s">
        <v>91</v>
      </c>
    </row>
    <row r="56" spans="1:6" x14ac:dyDescent="0.2">
      <c r="A56" s="9" t="s">
        <v>19</v>
      </c>
      <c r="B56" s="13">
        <v>5.9334759204857099E-3</v>
      </c>
      <c r="C56" s="13">
        <v>6.8786838459234199E-3</v>
      </c>
      <c r="D56" s="13">
        <v>1.22675852426827E-3</v>
      </c>
      <c r="E56" s="13">
        <v>1.6232712161547901E-4</v>
      </c>
      <c r="F56" s="8" t="s">
        <v>91</v>
      </c>
    </row>
    <row r="57" spans="1:6" x14ac:dyDescent="0.2">
      <c r="A57" s="6" t="s">
        <v>52</v>
      </c>
      <c r="B57" s="14">
        <v>1.181722898214589E-2</v>
      </c>
      <c r="C57" s="14">
        <v>1.318992984686225E-2</v>
      </c>
      <c r="D57" s="14">
        <v>7.8084153687551696E-3</v>
      </c>
      <c r="E57" s="14">
        <v>1.431430072427412E-3</v>
      </c>
      <c r="F57" s="8"/>
    </row>
    <row r="58" spans="1:6" x14ac:dyDescent="0.2">
      <c r="A58" s="9" t="s">
        <v>53</v>
      </c>
      <c r="B58" s="13">
        <v>1.7375318461290399E-3</v>
      </c>
      <c r="C58" s="13">
        <v>1.80345804508696E-3</v>
      </c>
      <c r="D58" s="13">
        <v>3.1253133832548699E-3</v>
      </c>
      <c r="E58" s="13">
        <v>1.18056088447622E-4</v>
      </c>
      <c r="F58" s="30" t="s">
        <v>52</v>
      </c>
    </row>
    <row r="59" spans="1:6" x14ac:dyDescent="0.2">
      <c r="A59" s="9" t="s">
        <v>54</v>
      </c>
      <c r="B59" s="13">
        <v>1.60616880513438E-3</v>
      </c>
      <c r="C59" s="13">
        <v>1.65945569167698E-3</v>
      </c>
      <c r="D59" s="13">
        <v>1.29491177561651E-3</v>
      </c>
      <c r="E59" s="13">
        <v>1.3133739839797901E-3</v>
      </c>
      <c r="F59" s="30" t="s">
        <v>52</v>
      </c>
    </row>
    <row r="60" spans="1:6" x14ac:dyDescent="0.2">
      <c r="A60" s="9" t="s">
        <v>55</v>
      </c>
      <c r="B60" s="13">
        <v>0</v>
      </c>
      <c r="C60" s="13">
        <v>0</v>
      </c>
      <c r="D60" s="13">
        <v>0</v>
      </c>
      <c r="E60" s="13">
        <v>0</v>
      </c>
      <c r="F60" s="30" t="s">
        <v>52</v>
      </c>
    </row>
    <row r="61" spans="1:6" x14ac:dyDescent="0.2">
      <c r="A61" s="9" t="s">
        <v>56</v>
      </c>
      <c r="B61" s="13">
        <v>4.6448741088083298E-3</v>
      </c>
      <c r="C61" s="13">
        <v>5.4686608021173103E-3</v>
      </c>
      <c r="D61" s="13">
        <v>0</v>
      </c>
      <c r="E61" s="13">
        <v>0</v>
      </c>
      <c r="F61" s="30" t="s">
        <v>52</v>
      </c>
    </row>
    <row r="62" spans="1:6" x14ac:dyDescent="0.2">
      <c r="A62" s="9" t="s">
        <v>57</v>
      </c>
      <c r="B62" s="13">
        <v>3.8286542220741398E-3</v>
      </c>
      <c r="C62" s="13">
        <v>4.2583553079810002E-3</v>
      </c>
      <c r="D62" s="13">
        <v>3.3881902098837902E-3</v>
      </c>
      <c r="E62" s="13">
        <v>0</v>
      </c>
      <c r="F62" s="30" t="s">
        <v>52</v>
      </c>
    </row>
    <row r="63" spans="1:6" x14ac:dyDescent="0.2">
      <c r="A63" s="7" t="s">
        <v>58</v>
      </c>
      <c r="B63" s="12">
        <v>5.8420667037321197E-2</v>
      </c>
      <c r="C63" s="12">
        <v>6.84868335562967E-2</v>
      </c>
      <c r="D63" s="12">
        <v>3.2518837071873139E-4</v>
      </c>
      <c r="E63" s="12">
        <v>2.6119909569036299E-3</v>
      </c>
      <c r="F63" s="8"/>
    </row>
    <row r="64" spans="1:6" x14ac:dyDescent="0.2">
      <c r="A64" s="9" t="s">
        <v>59</v>
      </c>
      <c r="B64" s="13">
        <v>1.01023676641412E-2</v>
      </c>
      <c r="C64" s="13">
        <v>1.18904800387102E-2</v>
      </c>
      <c r="D64" s="13">
        <v>4.8680893820169403E-5</v>
      </c>
      <c r="E64" s="13">
        <v>0</v>
      </c>
      <c r="F64" s="8" t="s">
        <v>105</v>
      </c>
    </row>
    <row r="65" spans="1:6" x14ac:dyDescent="0.2">
      <c r="A65" s="9" t="s">
        <v>60</v>
      </c>
      <c r="B65" s="13">
        <v>1.30765263878712E-2</v>
      </c>
      <c r="C65" s="13">
        <v>1.52548207359376E-2</v>
      </c>
      <c r="D65" s="13">
        <v>0</v>
      </c>
      <c r="E65" s="13">
        <v>1.35764501714765E-3</v>
      </c>
      <c r="F65" s="8" t="s">
        <v>105</v>
      </c>
    </row>
    <row r="66" spans="1:6" x14ac:dyDescent="0.2">
      <c r="A66" s="9" t="s">
        <v>61</v>
      </c>
      <c r="B66" s="13">
        <v>3.5241772985308797E-2</v>
      </c>
      <c r="C66" s="13">
        <v>4.1341532781648899E-2</v>
      </c>
      <c r="D66" s="13">
        <v>2.7650747689856198E-4</v>
      </c>
      <c r="E66" s="13">
        <v>1.2543459397559801E-3</v>
      </c>
      <c r="F66" s="8" t="s">
        <v>105</v>
      </c>
    </row>
    <row r="67" spans="1:6" x14ac:dyDescent="0.2">
      <c r="A67" s="7" t="s">
        <v>62</v>
      </c>
      <c r="B67" s="12">
        <v>3.7518306914663554E-3</v>
      </c>
      <c r="C67" s="12">
        <v>3.7169750317086968E-3</v>
      </c>
      <c r="D67" s="12">
        <v>8.8501864965067935E-3</v>
      </c>
      <c r="E67" s="12">
        <v>4.7222435379048631E-4</v>
      </c>
      <c r="F67" s="8"/>
    </row>
    <row r="68" spans="1:6" x14ac:dyDescent="0.2">
      <c r="A68" s="9" t="s">
        <v>63</v>
      </c>
      <c r="B68" s="13">
        <v>2.91214677668234E-6</v>
      </c>
      <c r="C68" s="13">
        <v>3.42862746214252E-6</v>
      </c>
      <c r="D68" s="13">
        <v>0</v>
      </c>
      <c r="E68" s="13">
        <v>0</v>
      </c>
      <c r="F68" s="30" t="s">
        <v>92</v>
      </c>
    </row>
    <row r="69" spans="1:6" x14ac:dyDescent="0.2">
      <c r="A69" s="9" t="s">
        <v>64</v>
      </c>
      <c r="B69" s="13">
        <v>0</v>
      </c>
      <c r="C69" s="13">
        <v>0</v>
      </c>
      <c r="D69" s="13">
        <v>0</v>
      </c>
      <c r="E69" s="13">
        <v>0</v>
      </c>
      <c r="F69" s="30" t="s">
        <v>92</v>
      </c>
    </row>
    <row r="70" spans="1:6" x14ac:dyDescent="0.2">
      <c r="A70" s="9" t="s">
        <v>65</v>
      </c>
      <c r="B70" s="13">
        <v>1.4604684512735999E-5</v>
      </c>
      <c r="C70" s="13">
        <v>0</v>
      </c>
      <c r="D70" s="13">
        <v>2.3366829033681299E-4</v>
      </c>
      <c r="E70" s="13">
        <v>0</v>
      </c>
      <c r="F70" s="30" t="s">
        <v>92</v>
      </c>
    </row>
    <row r="71" spans="1:6" x14ac:dyDescent="0.2">
      <c r="A71" s="9" t="s">
        <v>66</v>
      </c>
      <c r="B71" s="13">
        <v>4.8682281709119898E-5</v>
      </c>
      <c r="C71" s="13">
        <v>0</v>
      </c>
      <c r="D71" s="13">
        <v>7.7889430112271002E-4</v>
      </c>
      <c r="E71" s="13">
        <v>0</v>
      </c>
      <c r="F71" s="30" t="s">
        <v>92</v>
      </c>
    </row>
    <row r="72" spans="1:6" x14ac:dyDescent="0.2">
      <c r="A72" s="9" t="s">
        <v>21</v>
      </c>
      <c r="B72" s="13">
        <v>7.5273486429108002E-4</v>
      </c>
      <c r="C72" s="13">
        <v>5.2800862916994699E-4</v>
      </c>
      <c r="D72" s="13">
        <v>4.8680893820169397E-3</v>
      </c>
      <c r="E72" s="13">
        <v>0</v>
      </c>
      <c r="F72" s="30" t="s">
        <v>92</v>
      </c>
    </row>
    <row r="73" spans="1:6" x14ac:dyDescent="0.2">
      <c r="A73" s="9" t="s">
        <v>67</v>
      </c>
      <c r="B73" s="13">
        <v>7.3631951085043905E-5</v>
      </c>
      <c r="C73" s="13">
        <v>0</v>
      </c>
      <c r="D73" s="13">
        <v>1.1780776304481E-3</v>
      </c>
      <c r="E73" s="13">
        <v>0</v>
      </c>
      <c r="F73" s="30" t="s">
        <v>92</v>
      </c>
    </row>
    <row r="74" spans="1:6" x14ac:dyDescent="0.2">
      <c r="A74" s="9" t="s">
        <v>68</v>
      </c>
      <c r="B74" s="13">
        <v>1.37206063811062E-4</v>
      </c>
      <c r="C74" s="13">
        <v>1.443452161562E-4</v>
      </c>
      <c r="D74" s="13">
        <v>2.3366829033681299E-4</v>
      </c>
      <c r="E74" s="13">
        <v>0</v>
      </c>
      <c r="F74" s="30" t="s">
        <v>92</v>
      </c>
    </row>
    <row r="75" spans="1:6" x14ac:dyDescent="0.2">
      <c r="A75" s="9" t="s">
        <v>69</v>
      </c>
      <c r="B75" s="13">
        <v>7.0613102345931601E-4</v>
      </c>
      <c r="C75" s="13">
        <v>8.0915608106563403E-4</v>
      </c>
      <c r="D75" s="13">
        <v>3.0182154168504997E-4</v>
      </c>
      <c r="E75" s="13">
        <v>0</v>
      </c>
      <c r="F75" s="30" t="s">
        <v>92</v>
      </c>
    </row>
    <row r="76" spans="1:6" x14ac:dyDescent="0.2">
      <c r="A76" s="9" t="s">
        <v>70</v>
      </c>
      <c r="B76" s="13">
        <v>8.1801101407380795E-5</v>
      </c>
      <c r="C76" s="13">
        <v>8.9144314015705405E-5</v>
      </c>
      <c r="D76" s="13">
        <v>9.7361787640338698E-5</v>
      </c>
      <c r="E76" s="13">
        <v>0</v>
      </c>
      <c r="F76" s="30" t="s">
        <v>92</v>
      </c>
    </row>
    <row r="77" spans="1:6" x14ac:dyDescent="0.2">
      <c r="A77" s="9" t="s">
        <v>71</v>
      </c>
      <c r="B77" s="13">
        <v>3.4945761320188097E-5</v>
      </c>
      <c r="C77" s="13">
        <v>4.1143529545710202E-5</v>
      </c>
      <c r="D77" s="13">
        <v>0</v>
      </c>
      <c r="E77" s="13">
        <v>0</v>
      </c>
      <c r="F77" s="30" t="s">
        <v>92</v>
      </c>
    </row>
    <row r="78" spans="1:6" x14ac:dyDescent="0.2">
      <c r="A78" s="9" t="s">
        <v>72</v>
      </c>
      <c r="B78" s="13">
        <v>0</v>
      </c>
      <c r="C78" s="13">
        <v>0</v>
      </c>
      <c r="D78" s="13">
        <v>0</v>
      </c>
      <c r="E78" s="13">
        <v>0</v>
      </c>
      <c r="F78" s="30" t="s">
        <v>92</v>
      </c>
    </row>
    <row r="79" spans="1:6" x14ac:dyDescent="0.2">
      <c r="A79" s="9" t="s">
        <v>73</v>
      </c>
      <c r="B79" s="13">
        <v>1.7867435585730599E-3</v>
      </c>
      <c r="C79" s="13">
        <v>1.98174667311837E-3</v>
      </c>
      <c r="D79" s="13">
        <v>1.0320349489875899E-3</v>
      </c>
      <c r="E79" s="13">
        <v>4.42710331678581E-4</v>
      </c>
      <c r="F79" s="30" t="s">
        <v>92</v>
      </c>
    </row>
    <row r="80" spans="1:6" x14ac:dyDescent="0.2">
      <c r="A80" s="9" t="s">
        <v>74</v>
      </c>
      <c r="B80" s="13">
        <v>1.12437254520686E-4</v>
      </c>
      <c r="C80" s="13">
        <v>1.20001961174988E-4</v>
      </c>
      <c r="D80" s="13">
        <v>1.2657032393244001E-4</v>
      </c>
      <c r="E80" s="13">
        <v>2.95140221119053E-5</v>
      </c>
      <c r="F80" s="30" t="s">
        <v>92</v>
      </c>
    </row>
    <row r="81" spans="1:6" x14ac:dyDescent="0.2">
      <c r="A81" s="7" t="s">
        <v>20</v>
      </c>
      <c r="B81" s="12">
        <v>7.7494128728388297E-3</v>
      </c>
      <c r="C81" s="12">
        <v>8.6007119887844992E-3</v>
      </c>
      <c r="D81" s="12">
        <v>6.7963395862338499E-3</v>
      </c>
      <c r="E81" s="12">
        <v>2.2135516583929001E-4</v>
      </c>
      <c r="F81" s="8"/>
    </row>
    <row r="82" spans="1:6" x14ac:dyDescent="0.2">
      <c r="A82" s="9" t="s">
        <v>20</v>
      </c>
      <c r="B82" s="15">
        <v>7.7494128728388297E-3</v>
      </c>
      <c r="C82" s="15">
        <v>8.6007119887844992E-3</v>
      </c>
      <c r="D82" s="15">
        <v>6.7963395862338499E-3</v>
      </c>
      <c r="E82" s="26">
        <v>2.2135516583929001E-4</v>
      </c>
      <c r="F82" s="8" t="s">
        <v>91</v>
      </c>
    </row>
    <row r="83" spans="1:6" x14ac:dyDescent="0.2">
      <c r="A83" s="6" t="s">
        <v>5</v>
      </c>
      <c r="B83" s="16">
        <v>0.99999999999999956</v>
      </c>
      <c r="C83" s="16">
        <v>0.99999999999999944</v>
      </c>
      <c r="D83" s="16">
        <v>0.99999999999999956</v>
      </c>
      <c r="E83" s="27">
        <v>1</v>
      </c>
      <c r="F83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workbookViewId="0">
      <selection activeCell="F1" sqref="F1:F1048576"/>
    </sheetView>
  </sheetViews>
  <sheetFormatPr defaultColWidth="9.28515625" defaultRowHeight="12.75" x14ac:dyDescent="0.2"/>
  <cols>
    <col min="1" max="1" width="48.7109375" style="5" customWidth="1"/>
    <col min="2" max="2" width="9" style="5" bestFit="1" customWidth="1"/>
    <col min="3" max="5" width="8.85546875" style="5" bestFit="1" customWidth="1"/>
    <col min="6" max="6" width="35.85546875" style="5" customWidth="1"/>
    <col min="7" max="16384" width="9.28515625" style="5"/>
  </cols>
  <sheetData>
    <row r="1" spans="1:6" s="21" customFormat="1" ht="18.75" x14ac:dyDescent="0.2">
      <c r="A1" s="23" t="s">
        <v>93</v>
      </c>
      <c r="B1" s="22"/>
      <c r="C1" s="20"/>
      <c r="D1" s="20"/>
      <c r="E1" s="20"/>
      <c r="F1" s="5"/>
    </row>
    <row r="2" spans="1:6" ht="18.75" x14ac:dyDescent="0.2">
      <c r="A2" s="23" t="s">
        <v>94</v>
      </c>
      <c r="C2" s="11"/>
      <c r="D2" s="11"/>
      <c r="E2" s="11"/>
    </row>
    <row r="3" spans="1:6" ht="25.5" x14ac:dyDescent="0.2">
      <c r="A3" s="19" t="s">
        <v>4</v>
      </c>
      <c r="B3" s="18" t="s">
        <v>85</v>
      </c>
      <c r="C3" s="18" t="s">
        <v>86</v>
      </c>
      <c r="D3" s="18" t="s">
        <v>88</v>
      </c>
      <c r="E3" s="18" t="s">
        <v>87</v>
      </c>
      <c r="F3" s="17" t="s">
        <v>100</v>
      </c>
    </row>
    <row r="4" spans="1:6" x14ac:dyDescent="0.2">
      <c r="A4" s="6" t="s">
        <v>0</v>
      </c>
      <c r="B4" s="12">
        <v>0.36456551431405443</v>
      </c>
      <c r="C4" s="12">
        <v>0.3036438004243725</v>
      </c>
      <c r="D4" s="12">
        <v>4.3418149659782981E-2</v>
      </c>
      <c r="E4" s="12">
        <v>0.95639745179085311</v>
      </c>
      <c r="F4" s="29"/>
    </row>
    <row r="5" spans="1:6" x14ac:dyDescent="0.2">
      <c r="A5" s="9" t="s">
        <v>22</v>
      </c>
      <c r="B5" s="13">
        <v>4.0086677897171803E-2</v>
      </c>
      <c r="C5" s="13">
        <v>2.2571111471205298E-2</v>
      </c>
      <c r="D5" s="13">
        <v>1.41682081152289E-3</v>
      </c>
      <c r="E5" s="13">
        <v>0.17636054801156201</v>
      </c>
      <c r="F5" s="8" t="s">
        <v>89</v>
      </c>
    </row>
    <row r="6" spans="1:6" x14ac:dyDescent="0.2">
      <c r="A6" s="9" t="s">
        <v>23</v>
      </c>
      <c r="B6" s="13">
        <v>5.74357237595612E-2</v>
      </c>
      <c r="C6" s="13">
        <v>2.5385045377896501E-2</v>
      </c>
      <c r="D6" s="13">
        <v>1.4538618784908099E-3</v>
      </c>
      <c r="E6" s="13">
        <v>0.297464219587047</v>
      </c>
      <c r="F6" s="8" t="s">
        <v>89</v>
      </c>
    </row>
    <row r="7" spans="1:6" x14ac:dyDescent="0.2">
      <c r="A7" s="9" t="s">
        <v>13</v>
      </c>
      <c r="B7" s="13">
        <v>2.2072837913363601E-2</v>
      </c>
      <c r="C7" s="13">
        <v>1.43190740800993E-2</v>
      </c>
      <c r="D7" s="13">
        <v>5.4172560440581105E-4</v>
      </c>
      <c r="E7" s="13">
        <v>8.5184630436376099E-2</v>
      </c>
      <c r="F7" s="8" t="s">
        <v>89</v>
      </c>
    </row>
    <row r="8" spans="1:6" x14ac:dyDescent="0.2">
      <c r="A8" s="9" t="s">
        <v>24</v>
      </c>
      <c r="B8" s="13">
        <v>0.14237502714210301</v>
      </c>
      <c r="C8" s="13">
        <v>0.116955280137423</v>
      </c>
      <c r="D8" s="13">
        <v>1.49562568149714E-2</v>
      </c>
      <c r="E8" s="13">
        <v>0.38516327850880699</v>
      </c>
      <c r="F8" s="8" t="s">
        <v>89</v>
      </c>
    </row>
    <row r="9" spans="1:6" x14ac:dyDescent="0.2">
      <c r="A9" s="9" t="s">
        <v>79</v>
      </c>
      <c r="B9" s="13">
        <v>8.6588269206906696E-2</v>
      </c>
      <c r="C9" s="13">
        <v>0.10818572831203201</v>
      </c>
      <c r="D9" s="13">
        <v>1.7200945473227201E-3</v>
      </c>
      <c r="E9" s="13">
        <v>2.24991953191476E-3</v>
      </c>
      <c r="F9" s="8" t="s">
        <v>101</v>
      </c>
    </row>
    <row r="10" spans="1:6" x14ac:dyDescent="0.2">
      <c r="A10" s="9" t="s">
        <v>25</v>
      </c>
      <c r="B10" s="13">
        <v>1.1812941380524499E-2</v>
      </c>
      <c r="C10" s="13">
        <v>1.3267237513821599E-2</v>
      </c>
      <c r="D10" s="13">
        <v>2.8919813035202498E-3</v>
      </c>
      <c r="E10" s="13">
        <v>8.1583484443367993E-3</v>
      </c>
      <c r="F10" s="8" t="s">
        <v>91</v>
      </c>
    </row>
    <row r="11" spans="1:6" x14ac:dyDescent="0.2">
      <c r="A11" s="9" t="s">
        <v>26</v>
      </c>
      <c r="B11" s="13">
        <v>4.1940370144235703E-3</v>
      </c>
      <c r="C11" s="13">
        <v>2.9603235318948098E-3</v>
      </c>
      <c r="D11" s="13">
        <v>2.04374086995491E-2</v>
      </c>
      <c r="E11" s="13">
        <v>1.8165072708093699E-3</v>
      </c>
      <c r="F11" s="8" t="s">
        <v>90</v>
      </c>
    </row>
    <row r="12" spans="1:6" x14ac:dyDescent="0.2">
      <c r="A12" s="6" t="s">
        <v>1</v>
      </c>
      <c r="B12" s="14">
        <v>0.15206423778549641</v>
      </c>
      <c r="C12" s="14">
        <v>0.16223060920895704</v>
      </c>
      <c r="D12" s="14">
        <v>0.25031612235621464</v>
      </c>
      <c r="E12" s="14">
        <v>2.5102855740640972E-2</v>
      </c>
      <c r="F12" s="8"/>
    </row>
    <row r="13" spans="1:6" x14ac:dyDescent="0.2">
      <c r="A13" s="9" t="s">
        <v>75</v>
      </c>
      <c r="B13" s="13">
        <v>1.3713085712150399E-2</v>
      </c>
      <c r="C13" s="13">
        <v>1.0187633546575699E-2</v>
      </c>
      <c r="D13" s="13">
        <v>6.9498301898557505E-2</v>
      </c>
      <c r="E13" s="13">
        <v>1.00385928123675E-3</v>
      </c>
      <c r="F13" s="8" t="s">
        <v>90</v>
      </c>
    </row>
    <row r="14" spans="1:6" x14ac:dyDescent="0.2">
      <c r="A14" s="10" t="s">
        <v>27</v>
      </c>
      <c r="B14" s="13">
        <v>4.1082036405118089E-3</v>
      </c>
      <c r="C14" s="13">
        <v>2.3747650310804512E-3</v>
      </c>
      <c r="D14" s="13">
        <v>2.7919704227068753E-2</v>
      </c>
      <c r="E14" s="13">
        <v>1.4340846874810791E-4</v>
      </c>
      <c r="F14" s="8" t="s">
        <v>90</v>
      </c>
    </row>
    <row r="15" spans="1:6" x14ac:dyDescent="0.2">
      <c r="A15" s="10" t="s">
        <v>28</v>
      </c>
      <c r="B15" s="13">
        <v>4.3552015602352874E-3</v>
      </c>
      <c r="C15" s="13">
        <v>3.0687602913048728E-3</v>
      </c>
      <c r="D15" s="13">
        <v>2.3734063659693893E-2</v>
      </c>
      <c r="E15" s="13">
        <v>3.3461976041225159E-4</v>
      </c>
      <c r="F15" s="8" t="s">
        <v>90</v>
      </c>
    </row>
    <row r="16" spans="1:6" x14ac:dyDescent="0.2">
      <c r="A16" s="9" t="s">
        <v>76</v>
      </c>
      <c r="B16" s="13">
        <v>1.16489395765841E-3</v>
      </c>
      <c r="C16" s="13">
        <v>9.5966532077908695E-4</v>
      </c>
      <c r="D16" s="13">
        <v>5.0098043074109999E-3</v>
      </c>
      <c r="E16" s="13">
        <v>4.7802822916036001E-5</v>
      </c>
      <c r="F16" s="8" t="s">
        <v>90</v>
      </c>
    </row>
    <row r="17" spans="1:6" x14ac:dyDescent="0.2">
      <c r="A17" s="9" t="s">
        <v>77</v>
      </c>
      <c r="B17" s="13">
        <v>2.54497572743984E-2</v>
      </c>
      <c r="C17" s="13">
        <v>2.7851981661423601E-2</v>
      </c>
      <c r="D17" s="13">
        <v>3.8809777916050697E-2</v>
      </c>
      <c r="E17" s="13">
        <v>1.6730988020612601E-3</v>
      </c>
      <c r="F17" s="8" t="s">
        <v>102</v>
      </c>
    </row>
    <row r="18" spans="1:6" x14ac:dyDescent="0.2">
      <c r="A18" s="9" t="s">
        <v>84</v>
      </c>
      <c r="B18" s="13">
        <v>4.8301626041770103E-3</v>
      </c>
      <c r="C18" s="13">
        <v>5.7525700867040097E-3</v>
      </c>
      <c r="D18" s="13">
        <v>2.6206554879802499E-3</v>
      </c>
      <c r="E18" s="13">
        <v>3.3461976041225202E-4</v>
      </c>
      <c r="F18" s="8" t="s">
        <v>102</v>
      </c>
    </row>
    <row r="19" spans="1:6" x14ac:dyDescent="0.2">
      <c r="A19" s="9" t="s">
        <v>30</v>
      </c>
      <c r="B19" s="13">
        <v>1.82758646946578E-3</v>
      </c>
      <c r="C19" s="13">
        <v>1.8000502062071001E-3</v>
      </c>
      <c r="D19" s="13">
        <v>5.0005440406690202E-3</v>
      </c>
      <c r="E19" s="13">
        <v>0</v>
      </c>
      <c r="F19" s="8" t="s">
        <v>102</v>
      </c>
    </row>
    <row r="20" spans="1:6" x14ac:dyDescent="0.2">
      <c r="A20" s="9" t="s">
        <v>78</v>
      </c>
      <c r="B20" s="13">
        <v>6.0626934606450899E-3</v>
      </c>
      <c r="C20" s="13">
        <v>5.80136662843855E-3</v>
      </c>
      <c r="D20" s="13">
        <v>1.7298178274018E-2</v>
      </c>
      <c r="E20" s="13">
        <v>6.3737097221381299E-4</v>
      </c>
      <c r="F20" s="8" t="s">
        <v>102</v>
      </c>
    </row>
    <row r="21" spans="1:6" x14ac:dyDescent="0.2">
      <c r="A21" s="9" t="s">
        <v>31</v>
      </c>
      <c r="B21" s="13">
        <v>7.0145806691546998E-3</v>
      </c>
      <c r="C21" s="13">
        <v>7.4062306677075296E-3</v>
      </c>
      <c r="D21" s="13">
        <v>9.2417462084957106E-3</v>
      </c>
      <c r="E21" s="13">
        <v>3.1071834895423402E-3</v>
      </c>
      <c r="F21" s="8" t="s">
        <v>102</v>
      </c>
    </row>
    <row r="22" spans="1:6" x14ac:dyDescent="0.2">
      <c r="A22" s="9" t="s">
        <v>80</v>
      </c>
      <c r="B22" s="13">
        <v>5.4941879106831003E-3</v>
      </c>
      <c r="C22" s="13">
        <v>6.6783489201674602E-3</v>
      </c>
      <c r="D22" s="13">
        <v>5.0283248408949704E-4</v>
      </c>
      <c r="E22" s="13">
        <v>1.0835306527634801E-3</v>
      </c>
      <c r="F22" s="8" t="s">
        <v>91</v>
      </c>
    </row>
    <row r="23" spans="1:6" x14ac:dyDescent="0.2">
      <c r="A23" s="9" t="s">
        <v>81</v>
      </c>
      <c r="B23" s="13">
        <v>2.2912807353380499E-2</v>
      </c>
      <c r="C23" s="13">
        <v>2.8071566092280901E-2</v>
      </c>
      <c r="D23" s="13">
        <v>5.1320398284051298E-3</v>
      </c>
      <c r="E23" s="13">
        <v>1.1950705729009E-3</v>
      </c>
      <c r="F23" s="8" t="s">
        <v>103</v>
      </c>
    </row>
    <row r="24" spans="1:6" x14ac:dyDescent="0.2">
      <c r="A24" s="9" t="s">
        <v>29</v>
      </c>
      <c r="B24" s="13">
        <v>3.3840675292133998E-2</v>
      </c>
      <c r="C24" s="13">
        <v>3.6616111641895599E-2</v>
      </c>
      <c r="D24" s="13">
        <v>3.9695985442844202E-2</v>
      </c>
      <c r="E24" s="13">
        <v>1.24191733935861E-2</v>
      </c>
      <c r="F24" s="8" t="s">
        <v>91</v>
      </c>
    </row>
    <row r="25" spans="1:6" x14ac:dyDescent="0.2">
      <c r="A25" s="9" t="s">
        <v>82</v>
      </c>
      <c r="B25" s="13">
        <v>2.23166046475332E-4</v>
      </c>
      <c r="C25" s="13">
        <v>2.7651373649566902E-4</v>
      </c>
      <c r="D25" s="13">
        <v>3.7041066967918698E-5</v>
      </c>
      <c r="E25" s="13">
        <v>0</v>
      </c>
      <c r="F25" s="8" t="s">
        <v>91</v>
      </c>
    </row>
    <row r="26" spans="1:6" x14ac:dyDescent="0.2">
      <c r="A26" s="9" t="s">
        <v>83</v>
      </c>
      <c r="B26" s="13">
        <v>2.1067235834426601E-2</v>
      </c>
      <c r="C26" s="13">
        <v>2.5385045377896501E-2</v>
      </c>
      <c r="D26" s="13">
        <v>5.8154475139632301E-3</v>
      </c>
      <c r="E26" s="13">
        <v>3.1231177638476799E-3</v>
      </c>
      <c r="F26" s="8" t="s">
        <v>91</v>
      </c>
    </row>
    <row r="27" spans="1:6" x14ac:dyDescent="0.2">
      <c r="A27" s="6" t="s">
        <v>2</v>
      </c>
      <c r="B27" s="14">
        <v>6.0994349766744484E-2</v>
      </c>
      <c r="C27" s="14">
        <v>2.3511800359087627E-2</v>
      </c>
      <c r="D27" s="14">
        <v>0.53200417638008102</v>
      </c>
      <c r="E27" s="14">
        <v>2.9637750207942301E-3</v>
      </c>
      <c r="F27" s="8"/>
    </row>
    <row r="28" spans="1:6" x14ac:dyDescent="0.2">
      <c r="A28" s="9" t="s">
        <v>32</v>
      </c>
      <c r="B28" s="13">
        <v>1.5667306643789101E-2</v>
      </c>
      <c r="C28" s="13">
        <v>8.8809705956844308E-3</v>
      </c>
      <c r="D28" s="13">
        <v>0.107548737941352</v>
      </c>
      <c r="E28" s="13">
        <v>9.9111186179247899E-4</v>
      </c>
      <c r="F28" s="8" t="s">
        <v>90</v>
      </c>
    </row>
    <row r="29" spans="1:6" x14ac:dyDescent="0.2">
      <c r="A29" s="9" t="s">
        <v>33</v>
      </c>
      <c r="B29" s="13">
        <v>1.26793754222002E-2</v>
      </c>
      <c r="C29" s="13">
        <v>3.8766141489098701E-3</v>
      </c>
      <c r="D29" s="13">
        <v>0.12070757698170501</v>
      </c>
      <c r="E29" s="13">
        <v>6.8517379512984897E-4</v>
      </c>
      <c r="F29" s="8" t="s">
        <v>90</v>
      </c>
    </row>
    <row r="30" spans="1:6" x14ac:dyDescent="0.2">
      <c r="A30" s="9" t="s">
        <v>34</v>
      </c>
      <c r="B30" s="13">
        <v>3.8841000760658499E-3</v>
      </c>
      <c r="C30" s="13">
        <v>2.32596848934592E-3</v>
      </c>
      <c r="D30" s="13">
        <v>2.5567596474605901E-2</v>
      </c>
      <c r="E30" s="13">
        <v>1.4340846874810799E-4</v>
      </c>
      <c r="F30" s="8" t="s">
        <v>90</v>
      </c>
    </row>
    <row r="31" spans="1:6" x14ac:dyDescent="0.2">
      <c r="A31" s="9" t="s">
        <v>35</v>
      </c>
      <c r="B31" s="13">
        <v>2.8207861932837998E-4</v>
      </c>
      <c r="C31" s="13">
        <v>2.22295356790636E-4</v>
      </c>
      <c r="D31" s="13">
        <v>1.3334784108450699E-3</v>
      </c>
      <c r="E31" s="13">
        <v>0</v>
      </c>
      <c r="F31" s="8" t="s">
        <v>90</v>
      </c>
    </row>
    <row r="32" spans="1:6" x14ac:dyDescent="0.2">
      <c r="A32" s="9" t="s">
        <v>36</v>
      </c>
      <c r="B32" s="13">
        <v>2.54171319616266E-2</v>
      </c>
      <c r="C32" s="13">
        <v>5.4462362413705799E-3</v>
      </c>
      <c r="D32" s="13">
        <v>0.26708461337217798</v>
      </c>
      <c r="E32" s="13">
        <v>3.63301454161873E-4</v>
      </c>
      <c r="F32" s="8" t="s">
        <v>90</v>
      </c>
    </row>
    <row r="33" spans="1:6" x14ac:dyDescent="0.2">
      <c r="A33" s="9" t="s">
        <v>17</v>
      </c>
      <c r="B33" s="13">
        <v>3.0643570437343501E-3</v>
      </c>
      <c r="C33" s="13">
        <v>2.7597155269861902E-3</v>
      </c>
      <c r="D33" s="13">
        <v>9.7621731993949596E-3</v>
      </c>
      <c r="E33" s="13">
        <v>7.8077944096192095E-4</v>
      </c>
      <c r="F33" s="8" t="s">
        <v>91</v>
      </c>
    </row>
    <row r="34" spans="1:6" x14ac:dyDescent="0.2">
      <c r="A34" s="6" t="s">
        <v>3</v>
      </c>
      <c r="B34" s="12">
        <v>3.4960200843863157E-2</v>
      </c>
      <c r="C34" s="12">
        <v>3.0753207152491847E-2</v>
      </c>
      <c r="D34" s="12">
        <v>0.13048132551452737</v>
      </c>
      <c r="E34" s="12">
        <v>1.5137560590078045E-3</v>
      </c>
      <c r="F34" s="8"/>
    </row>
    <row r="35" spans="1:6" x14ac:dyDescent="0.2">
      <c r="A35" s="9" t="s">
        <v>11</v>
      </c>
      <c r="B35" s="13">
        <v>3.0180508114603802E-3</v>
      </c>
      <c r="C35" s="13">
        <v>2.7900778196210101E-3</v>
      </c>
      <c r="D35" s="13">
        <v>9.9270059474021906E-3</v>
      </c>
      <c r="E35" s="13">
        <v>1.11539920137417E-4</v>
      </c>
      <c r="F35" s="8" t="s">
        <v>90</v>
      </c>
    </row>
    <row r="36" spans="1:6" x14ac:dyDescent="0.2">
      <c r="A36" s="9" t="s">
        <v>37</v>
      </c>
      <c r="B36" s="13">
        <v>4.1047191012261704E-3</v>
      </c>
      <c r="C36" s="13">
        <v>4.8370927453845296E-3</v>
      </c>
      <c r="D36" s="13">
        <v>3.1225619453955399E-3</v>
      </c>
      <c r="E36" s="13">
        <v>4.7802822916035798E-5</v>
      </c>
      <c r="F36" s="8" t="s">
        <v>90</v>
      </c>
    </row>
    <row r="37" spans="1:6" x14ac:dyDescent="0.2">
      <c r="A37" s="9" t="s">
        <v>14</v>
      </c>
      <c r="B37" s="13">
        <v>2.22848382274717E-4</v>
      </c>
      <c r="C37" s="13">
        <v>2.1660242692160699E-4</v>
      </c>
      <c r="D37" s="13">
        <v>6.38958405196597E-4</v>
      </c>
      <c r="E37" s="13">
        <v>0</v>
      </c>
      <c r="F37" s="8" t="s">
        <v>90</v>
      </c>
    </row>
    <row r="38" spans="1:6" x14ac:dyDescent="0.2">
      <c r="A38" s="9" t="s">
        <v>16</v>
      </c>
      <c r="B38" s="13">
        <v>1.8810945760411801E-3</v>
      </c>
      <c r="C38" s="13">
        <v>2.0030980382024499E-3</v>
      </c>
      <c r="D38" s="13">
        <v>3.4749150949278701E-3</v>
      </c>
      <c r="E38" s="13">
        <v>9.5605645832071799E-5</v>
      </c>
      <c r="F38" s="8" t="s">
        <v>90</v>
      </c>
    </row>
    <row r="39" spans="1:6" x14ac:dyDescent="0.2">
      <c r="A39" s="9" t="s">
        <v>38</v>
      </c>
      <c r="B39" s="13">
        <v>7.5169517184676899E-3</v>
      </c>
      <c r="C39" s="13">
        <v>5.1073713682141201E-3</v>
      </c>
      <c r="D39" s="13">
        <v>4.2884295282107798E-2</v>
      </c>
      <c r="E39" s="13">
        <v>5.7363387499243098E-4</v>
      </c>
      <c r="F39" s="8" t="s">
        <v>90</v>
      </c>
    </row>
    <row r="40" spans="1:6" x14ac:dyDescent="0.2">
      <c r="A40" s="9" t="s">
        <v>39</v>
      </c>
      <c r="B40" s="13">
        <v>1.3757937212904099E-3</v>
      </c>
      <c r="C40" s="13">
        <v>1.12665793027059E-3</v>
      </c>
      <c r="D40" s="13">
        <v>5.9988007954544301E-3</v>
      </c>
      <c r="E40" s="13">
        <v>4.7802822916036103E-5</v>
      </c>
      <c r="F40" s="8" t="s">
        <v>90</v>
      </c>
    </row>
    <row r="41" spans="1:6" x14ac:dyDescent="0.2">
      <c r="A41" s="9" t="s">
        <v>15</v>
      </c>
      <c r="B41" s="13">
        <v>9.5631615355682899E-3</v>
      </c>
      <c r="C41" s="13">
        <v>8.9739551168785594E-3</v>
      </c>
      <c r="D41" s="13">
        <v>3.0062529951162799E-2</v>
      </c>
      <c r="E41" s="13">
        <v>3.8242258332828801E-4</v>
      </c>
      <c r="F41" s="8" t="s">
        <v>90</v>
      </c>
    </row>
    <row r="42" spans="1:6" x14ac:dyDescent="0.2">
      <c r="A42" s="9" t="s">
        <v>40</v>
      </c>
      <c r="B42" s="13">
        <v>5.0588316950246799E-3</v>
      </c>
      <c r="C42" s="13">
        <v>5.6983517069989801E-3</v>
      </c>
      <c r="D42" s="13">
        <v>6.1988225570811899E-3</v>
      </c>
      <c r="E42" s="13">
        <v>2.5494838888552498E-4</v>
      </c>
      <c r="F42" s="8" t="s">
        <v>90</v>
      </c>
    </row>
    <row r="43" spans="1:6" x14ac:dyDescent="0.2">
      <c r="A43" s="9" t="s">
        <v>41</v>
      </c>
      <c r="B43" s="13">
        <v>1.9085152920943101E-3</v>
      </c>
      <c r="C43" s="13">
        <v>0</v>
      </c>
      <c r="D43" s="13">
        <v>2.4234118063760801E-2</v>
      </c>
      <c r="E43" s="13">
        <v>0</v>
      </c>
      <c r="F43" s="8" t="s">
        <v>90</v>
      </c>
    </row>
    <row r="44" spans="1:6" x14ac:dyDescent="0.2">
      <c r="A44" s="9" t="s">
        <v>42</v>
      </c>
      <c r="B44" s="13">
        <v>3.1023401041533098E-4</v>
      </c>
      <c r="C44" s="13">
        <v>0</v>
      </c>
      <c r="D44" s="13">
        <v>3.9393174720381502E-3</v>
      </c>
      <c r="E44" s="13">
        <v>0</v>
      </c>
      <c r="F44" s="8" t="s">
        <v>90</v>
      </c>
    </row>
    <row r="45" spans="1:6" x14ac:dyDescent="0.2">
      <c r="A45" s="6" t="s">
        <v>43</v>
      </c>
      <c r="B45" s="14">
        <v>0.3480440899857663</v>
      </c>
      <c r="C45" s="14">
        <v>0.43216413204477705</v>
      </c>
      <c r="D45" s="14">
        <v>2.9583311147265388E-2</v>
      </c>
      <c r="E45" s="14">
        <v>1.1918837180398304E-2</v>
      </c>
      <c r="F45" s="8"/>
    </row>
    <row r="46" spans="1:6" x14ac:dyDescent="0.2">
      <c r="A46" s="9" t="s">
        <v>18</v>
      </c>
      <c r="B46" s="13">
        <v>2.0207360154266999E-2</v>
      </c>
      <c r="C46" s="13">
        <v>2.5328116079206198E-2</v>
      </c>
      <c r="D46" s="13">
        <v>4.0374762995031298E-4</v>
      </c>
      <c r="E46" s="13">
        <v>9.5605645832072693E-6</v>
      </c>
      <c r="F46" s="8" t="s">
        <v>101</v>
      </c>
    </row>
    <row r="47" spans="1:6" x14ac:dyDescent="0.2">
      <c r="A47" s="9" t="s">
        <v>12</v>
      </c>
      <c r="B47" s="13">
        <v>0.160462900408126</v>
      </c>
      <c r="C47" s="13">
        <v>0.198955699787112</v>
      </c>
      <c r="D47" s="13">
        <v>1.6867112857178901E-2</v>
      </c>
      <c r="E47" s="13">
        <v>5.3093001985410598E-3</v>
      </c>
      <c r="F47" s="8" t="s">
        <v>101</v>
      </c>
    </row>
    <row r="48" spans="1:6" x14ac:dyDescent="0.2">
      <c r="A48" s="9" t="s">
        <v>45</v>
      </c>
      <c r="B48" s="13">
        <v>2.1185034329421398E-2</v>
      </c>
      <c r="C48" s="13">
        <v>2.616009711578E-2</v>
      </c>
      <c r="D48" s="13">
        <v>7.0378027239045501E-4</v>
      </c>
      <c r="E48" s="13">
        <v>2.3455251777468301E-3</v>
      </c>
      <c r="F48" s="30" t="s">
        <v>104</v>
      </c>
    </row>
    <row r="49" spans="1:6" x14ac:dyDescent="0.2">
      <c r="A49" s="9" t="s">
        <v>46</v>
      </c>
      <c r="B49" s="13">
        <v>2.7651140727199298E-2</v>
      </c>
      <c r="C49" s="13">
        <v>3.4526264196165099E-2</v>
      </c>
      <c r="D49" s="13">
        <v>1.1760538762314199E-3</v>
      </c>
      <c r="E49" s="13">
        <v>4.6209395485501402E-4</v>
      </c>
      <c r="F49" s="30" t="s">
        <v>104</v>
      </c>
    </row>
    <row r="50" spans="1:6" x14ac:dyDescent="0.2">
      <c r="A50" s="9" t="s">
        <v>50</v>
      </c>
      <c r="B50" s="13">
        <v>8.9483746036764702E-3</v>
      </c>
      <c r="C50" s="13">
        <v>1.0976510971283999E-2</v>
      </c>
      <c r="D50" s="13">
        <v>9.1676640745598698E-4</v>
      </c>
      <c r="E50" s="13">
        <v>1.0675963784581399E-3</v>
      </c>
      <c r="F50" s="30" t="s">
        <v>104</v>
      </c>
    </row>
    <row r="51" spans="1:6" x14ac:dyDescent="0.2">
      <c r="A51" s="9" t="s">
        <v>44</v>
      </c>
      <c r="B51" s="13">
        <v>1.5472445422465699E-2</v>
      </c>
      <c r="C51" s="13">
        <v>1.9090291494142202E-2</v>
      </c>
      <c r="D51" s="13">
        <v>1.9724368160416702E-3</v>
      </c>
      <c r="E51" s="13">
        <v>8.9231936109933796E-4</v>
      </c>
      <c r="F51" s="8" t="s">
        <v>91</v>
      </c>
    </row>
    <row r="52" spans="1:6" x14ac:dyDescent="0.2">
      <c r="A52" s="9" t="s">
        <v>47</v>
      </c>
      <c r="B52" s="13">
        <v>1.5665745859387099E-3</v>
      </c>
      <c r="C52" s="13">
        <v>1.9667717238000802E-3</v>
      </c>
      <c r="D52" s="13">
        <v>0</v>
      </c>
      <c r="E52" s="13">
        <v>0</v>
      </c>
      <c r="F52" s="8" t="s">
        <v>91</v>
      </c>
    </row>
    <row r="53" spans="1:6" x14ac:dyDescent="0.2">
      <c r="A53" s="9" t="s">
        <v>48</v>
      </c>
      <c r="B53" s="13">
        <v>3.8007190192130703E-2</v>
      </c>
      <c r="C53" s="13">
        <v>4.76701548961578E-2</v>
      </c>
      <c r="D53" s="13">
        <v>3.4262986945324801E-4</v>
      </c>
      <c r="E53" s="13">
        <v>7.9671371526726894E-5</v>
      </c>
      <c r="F53" s="8" t="s">
        <v>91</v>
      </c>
    </row>
    <row r="54" spans="1:6" x14ac:dyDescent="0.2">
      <c r="A54" s="9" t="s">
        <v>49</v>
      </c>
      <c r="B54" s="13">
        <v>2.0032440375368402E-2</v>
      </c>
      <c r="C54" s="13">
        <v>2.5062988202448601E-2</v>
      </c>
      <c r="D54" s="13">
        <v>1.22235520994132E-4</v>
      </c>
      <c r="E54" s="13">
        <v>4.7802822916035901E-4</v>
      </c>
      <c r="F54" s="8" t="s">
        <v>91</v>
      </c>
    </row>
    <row r="55" spans="1:6" x14ac:dyDescent="0.2">
      <c r="A55" s="9" t="s">
        <v>51</v>
      </c>
      <c r="B55" s="13">
        <v>2.7050355447873799E-2</v>
      </c>
      <c r="C55" s="13">
        <v>3.3134478389136898E-2</v>
      </c>
      <c r="D55" s="13">
        <v>6.5136716263085002E-3</v>
      </c>
      <c r="E55" s="13">
        <v>1.1632020242902099E-3</v>
      </c>
      <c r="F55" s="8" t="s">
        <v>91</v>
      </c>
    </row>
    <row r="56" spans="1:6" x14ac:dyDescent="0.2">
      <c r="A56" s="9" t="s">
        <v>19</v>
      </c>
      <c r="B56" s="13">
        <v>7.4602737392987801E-3</v>
      </c>
      <c r="C56" s="13">
        <v>9.2927591895441506E-3</v>
      </c>
      <c r="D56" s="13">
        <v>5.6487627126075904E-4</v>
      </c>
      <c r="E56" s="13">
        <v>1.11539920137417E-4</v>
      </c>
      <c r="F56" s="8" t="s">
        <v>91</v>
      </c>
    </row>
    <row r="57" spans="1:6" x14ac:dyDescent="0.2">
      <c r="A57" s="6" t="s">
        <v>52</v>
      </c>
      <c r="B57" s="14">
        <v>5.0931613097489111E-3</v>
      </c>
      <c r="C57" s="14">
        <v>5.7851011145270328E-3</v>
      </c>
      <c r="D57" s="14">
        <v>5.7321051132854153E-3</v>
      </c>
      <c r="E57" s="14">
        <v>2.7088266319087002E-4</v>
      </c>
      <c r="F57" s="8"/>
    </row>
    <row r="58" spans="1:6" x14ac:dyDescent="0.2">
      <c r="A58" s="9" t="s">
        <v>53</v>
      </c>
      <c r="B58" s="13">
        <v>1.5225779535956701E-3</v>
      </c>
      <c r="C58" s="13">
        <v>1.8163157201186099E-3</v>
      </c>
      <c r="D58" s="13">
        <v>9.6306774116588503E-4</v>
      </c>
      <c r="E58" s="13">
        <v>0</v>
      </c>
      <c r="F58" s="30" t="s">
        <v>52</v>
      </c>
    </row>
    <row r="59" spans="1:6" x14ac:dyDescent="0.2">
      <c r="A59" s="9" t="s">
        <v>54</v>
      </c>
      <c r="B59" s="13">
        <v>8.4435186207384798E-4</v>
      </c>
      <c r="C59" s="13">
        <v>8.5122856136902005E-4</v>
      </c>
      <c r="D59" s="13">
        <v>1.93539574907375E-3</v>
      </c>
      <c r="E59" s="13">
        <v>1.11539920137417E-4</v>
      </c>
      <c r="F59" s="30" t="s">
        <v>52</v>
      </c>
    </row>
    <row r="60" spans="1:6" x14ac:dyDescent="0.2">
      <c r="A60" s="9" t="s">
        <v>55</v>
      </c>
      <c r="B60" s="13">
        <v>1.20920988025593E-4</v>
      </c>
      <c r="C60" s="13">
        <v>1.5181146317409301E-4</v>
      </c>
      <c r="D60" s="13">
        <v>0</v>
      </c>
      <c r="E60" s="13">
        <v>0</v>
      </c>
      <c r="F60" s="30" t="s">
        <v>52</v>
      </c>
    </row>
    <row r="61" spans="1:6" x14ac:dyDescent="0.2">
      <c r="A61" s="9" t="s">
        <v>56</v>
      </c>
      <c r="B61" s="13">
        <v>0</v>
      </c>
      <c r="C61" s="13">
        <v>0</v>
      </c>
      <c r="D61" s="13">
        <v>0</v>
      </c>
      <c r="E61" s="13">
        <v>0</v>
      </c>
      <c r="F61" s="30" t="s">
        <v>52</v>
      </c>
    </row>
    <row r="62" spans="1:6" x14ac:dyDescent="0.2">
      <c r="A62" s="9" t="s">
        <v>57</v>
      </c>
      <c r="B62" s="13">
        <v>2.6053105060538E-3</v>
      </c>
      <c r="C62" s="13">
        <v>2.9657453698653099E-3</v>
      </c>
      <c r="D62" s="13">
        <v>2.8336416230457799E-3</v>
      </c>
      <c r="E62" s="13">
        <v>1.59342743053453E-4</v>
      </c>
      <c r="F62" s="30" t="s">
        <v>52</v>
      </c>
    </row>
    <row r="63" spans="1:6" x14ac:dyDescent="0.2">
      <c r="A63" s="7" t="s">
        <v>58</v>
      </c>
      <c r="B63" s="12">
        <v>2.1007198065811482E-2</v>
      </c>
      <c r="C63" s="12">
        <v>2.6285612664797169E-2</v>
      </c>
      <c r="D63" s="12">
        <v>8.3342400677816964E-5</v>
      </c>
      <c r="E63" s="12">
        <v>5.0989677777104996E-4</v>
      </c>
      <c r="F63" s="8"/>
    </row>
    <row r="64" spans="1:6" x14ac:dyDescent="0.2">
      <c r="A64" s="9" t="s">
        <v>59</v>
      </c>
      <c r="B64" s="13">
        <v>1.5331053838959199E-3</v>
      </c>
      <c r="C64" s="13">
        <v>1.9247524795286801E-3</v>
      </c>
      <c r="D64" s="13">
        <v>0</v>
      </c>
      <c r="E64" s="13">
        <v>0</v>
      </c>
      <c r="F64" s="8" t="s">
        <v>105</v>
      </c>
    </row>
    <row r="65" spans="1:6" x14ac:dyDescent="0.2">
      <c r="A65" s="9" t="s">
        <v>60</v>
      </c>
      <c r="B65" s="13">
        <v>1.71672765428466E-3</v>
      </c>
      <c r="C65" s="13">
        <v>2.15436731757949E-3</v>
      </c>
      <c r="D65" s="13">
        <v>9.2602667419796695E-6</v>
      </c>
      <c r="E65" s="13">
        <v>0</v>
      </c>
      <c r="F65" s="8" t="s">
        <v>105</v>
      </c>
    </row>
    <row r="66" spans="1:6" x14ac:dyDescent="0.2">
      <c r="A66" s="9" t="s">
        <v>61</v>
      </c>
      <c r="B66" s="13">
        <v>1.7757365027630902E-2</v>
      </c>
      <c r="C66" s="13">
        <v>2.2206492867688998E-2</v>
      </c>
      <c r="D66" s="13">
        <v>7.4082133935837301E-5</v>
      </c>
      <c r="E66" s="13">
        <v>5.0989677777104996E-4</v>
      </c>
      <c r="F66" s="8" t="s">
        <v>105</v>
      </c>
    </row>
    <row r="67" spans="1:6" x14ac:dyDescent="0.2">
      <c r="A67" s="7" t="s">
        <v>62</v>
      </c>
      <c r="B67" s="12">
        <v>4.8548554480523261E-3</v>
      </c>
      <c r="C67" s="12">
        <v>5.823053980320559E-3</v>
      </c>
      <c r="D67" s="12">
        <v>2.0446668966291109E-3</v>
      </c>
      <c r="E67" s="12">
        <v>4.4615968054966904E-4</v>
      </c>
      <c r="F67" s="8"/>
    </row>
    <row r="68" spans="1:6" x14ac:dyDescent="0.2">
      <c r="A68" s="9" t="s">
        <v>63</v>
      </c>
      <c r="B68" s="13">
        <v>0</v>
      </c>
      <c r="C68" s="13">
        <v>0</v>
      </c>
      <c r="D68" s="13">
        <v>0</v>
      </c>
      <c r="E68" s="13">
        <v>0</v>
      </c>
      <c r="F68" s="30" t="s">
        <v>92</v>
      </c>
    </row>
    <row r="69" spans="1:6" x14ac:dyDescent="0.2">
      <c r="A69" s="9" t="s">
        <v>64</v>
      </c>
      <c r="B69" s="13">
        <v>0</v>
      </c>
      <c r="C69" s="13">
        <v>0</v>
      </c>
      <c r="D69" s="13">
        <v>0</v>
      </c>
      <c r="E69" s="13">
        <v>0</v>
      </c>
      <c r="F69" s="30" t="s">
        <v>92</v>
      </c>
    </row>
    <row r="70" spans="1:6" x14ac:dyDescent="0.2">
      <c r="A70" s="9" t="s">
        <v>65</v>
      </c>
      <c r="B70" s="13">
        <v>0</v>
      </c>
      <c r="C70" s="13">
        <v>0</v>
      </c>
      <c r="D70" s="13">
        <v>0</v>
      </c>
      <c r="E70" s="13">
        <v>0</v>
      </c>
      <c r="F70" s="30" t="s">
        <v>92</v>
      </c>
    </row>
    <row r="71" spans="1:6" x14ac:dyDescent="0.2">
      <c r="A71" s="9" t="s">
        <v>66</v>
      </c>
      <c r="B71" s="13">
        <v>9.7952869051599699E-5</v>
      </c>
      <c r="C71" s="13">
        <v>1.03014921439563E-4</v>
      </c>
      <c r="D71" s="13">
        <v>0</v>
      </c>
      <c r="E71" s="13">
        <v>1.27474194442763E-4</v>
      </c>
      <c r="F71" s="30" t="s">
        <v>92</v>
      </c>
    </row>
    <row r="72" spans="1:6" x14ac:dyDescent="0.2">
      <c r="A72" s="9" t="s">
        <v>21</v>
      </c>
      <c r="B72" s="13">
        <v>1.9723729139862899E-3</v>
      </c>
      <c r="C72" s="13">
        <v>2.4560926006379998E-3</v>
      </c>
      <c r="D72" s="13">
        <v>2.0372586832355301E-4</v>
      </c>
      <c r="E72" s="13">
        <v>0</v>
      </c>
      <c r="F72" s="30" t="s">
        <v>92</v>
      </c>
    </row>
    <row r="73" spans="1:6" x14ac:dyDescent="0.2">
      <c r="A73" s="9" t="s">
        <v>67</v>
      </c>
      <c r="B73" s="13">
        <v>3.5005248001729797E-5</v>
      </c>
      <c r="C73" s="13">
        <v>0</v>
      </c>
      <c r="D73" s="13">
        <v>4.4449280361502403E-4</v>
      </c>
      <c r="E73" s="13">
        <v>0</v>
      </c>
      <c r="F73" s="30" t="s">
        <v>92</v>
      </c>
    </row>
    <row r="74" spans="1:6" x14ac:dyDescent="0.2">
      <c r="A74" s="9" t="s">
        <v>68</v>
      </c>
      <c r="B74" s="13">
        <v>3.88674604367979E-5</v>
      </c>
      <c r="C74" s="13">
        <v>4.8796541734529799E-5</v>
      </c>
      <c r="D74" s="13">
        <v>0</v>
      </c>
      <c r="E74" s="13">
        <v>0</v>
      </c>
      <c r="F74" s="30" t="s">
        <v>92</v>
      </c>
    </row>
    <row r="75" spans="1:6" x14ac:dyDescent="0.2">
      <c r="A75" s="9" t="s">
        <v>69</v>
      </c>
      <c r="B75" s="13">
        <v>1.0440436180733899E-3</v>
      </c>
      <c r="C75" s="13">
        <v>1.27413192306828E-3</v>
      </c>
      <c r="D75" s="13">
        <v>3.7041066967918699E-4</v>
      </c>
      <c r="E75" s="13">
        <v>0</v>
      </c>
      <c r="F75" s="30" t="s">
        <v>92</v>
      </c>
    </row>
    <row r="76" spans="1:6" x14ac:dyDescent="0.2">
      <c r="A76" s="9" t="s">
        <v>70</v>
      </c>
      <c r="B76" s="13">
        <v>2.2436408146067799E-5</v>
      </c>
      <c r="C76" s="13">
        <v>1.6265513911509899E-5</v>
      </c>
      <c r="D76" s="13">
        <v>1.2038346764573599E-4</v>
      </c>
      <c r="E76" s="13">
        <v>0</v>
      </c>
      <c r="F76" s="30" t="s">
        <v>92</v>
      </c>
    </row>
    <row r="77" spans="1:6" x14ac:dyDescent="0.2">
      <c r="A77" s="9" t="s">
        <v>71</v>
      </c>
      <c r="B77" s="13">
        <v>0</v>
      </c>
      <c r="C77" s="13">
        <v>0</v>
      </c>
      <c r="D77" s="13">
        <v>0</v>
      </c>
      <c r="E77" s="13">
        <v>0</v>
      </c>
      <c r="F77" s="30" t="s">
        <v>92</v>
      </c>
    </row>
    <row r="78" spans="1:6" x14ac:dyDescent="0.2">
      <c r="A78" s="9" t="s">
        <v>72</v>
      </c>
      <c r="B78" s="13">
        <v>0</v>
      </c>
      <c r="C78" s="13">
        <v>0</v>
      </c>
      <c r="D78" s="13">
        <v>0</v>
      </c>
      <c r="E78" s="13">
        <v>0</v>
      </c>
      <c r="F78" s="30" t="s">
        <v>92</v>
      </c>
    </row>
    <row r="79" spans="1:6" x14ac:dyDescent="0.2">
      <c r="A79" s="9" t="s">
        <v>73</v>
      </c>
      <c r="B79" s="13">
        <v>9.9638592307648701E-4</v>
      </c>
      <c r="C79" s="13">
        <v>1.1114767839531801E-3</v>
      </c>
      <c r="D79" s="13">
        <v>9.0565408736561104E-4</v>
      </c>
      <c r="E79" s="13">
        <v>3.1868548610690601E-4</v>
      </c>
      <c r="F79" s="30" t="s">
        <v>92</v>
      </c>
    </row>
    <row r="80" spans="1:6" x14ac:dyDescent="0.2">
      <c r="A80" s="9" t="s">
        <v>74</v>
      </c>
      <c r="B80" s="13">
        <v>6.4779100727996395E-4</v>
      </c>
      <c r="C80" s="13">
        <v>8.1327569557549696E-4</v>
      </c>
      <c r="D80" s="13">
        <v>0</v>
      </c>
      <c r="E80" s="13">
        <v>0</v>
      </c>
      <c r="F80" s="30" t="s">
        <v>92</v>
      </c>
    </row>
    <row r="81" spans="1:6" x14ac:dyDescent="0.2">
      <c r="A81" s="7" t="s">
        <v>20</v>
      </c>
      <c r="B81" s="12">
        <v>8.4163924804626106E-3</v>
      </c>
      <c r="C81" s="12">
        <v>9.8026830506699903E-3</v>
      </c>
      <c r="D81" s="12">
        <v>6.3368005315366897E-3</v>
      </c>
      <c r="E81" s="12">
        <v>8.7638508679399195E-4</v>
      </c>
      <c r="F81" s="8"/>
    </row>
    <row r="82" spans="1:6" x14ac:dyDescent="0.2">
      <c r="A82" s="9" t="s">
        <v>20</v>
      </c>
      <c r="B82" s="15">
        <v>8.4163924804626106E-3</v>
      </c>
      <c r="C82" s="15">
        <v>9.8026830506699903E-3</v>
      </c>
      <c r="D82" s="15">
        <v>6.3368005315366897E-3</v>
      </c>
      <c r="E82" s="26">
        <v>8.7638508679399195E-4</v>
      </c>
      <c r="F82" s="8" t="s">
        <v>91</v>
      </c>
    </row>
    <row r="83" spans="1:6" x14ac:dyDescent="0.2">
      <c r="A83" s="6" t="s">
        <v>5</v>
      </c>
      <c r="B83" s="16">
        <v>1.0000000000000002</v>
      </c>
      <c r="C83" s="16">
        <v>1.0000000000000007</v>
      </c>
      <c r="D83" s="16">
        <v>1.0000000000000004</v>
      </c>
      <c r="E83" s="27">
        <v>1</v>
      </c>
      <c r="F83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workbookViewId="0">
      <selection activeCell="F1" sqref="F1:F1048576"/>
    </sheetView>
  </sheetViews>
  <sheetFormatPr defaultColWidth="9.28515625" defaultRowHeight="12.75" x14ac:dyDescent="0.2"/>
  <cols>
    <col min="1" max="1" width="48.7109375" style="5" customWidth="1"/>
    <col min="2" max="2" width="9" style="5" bestFit="1" customWidth="1"/>
    <col min="3" max="5" width="8.85546875" style="5" bestFit="1" customWidth="1"/>
    <col min="6" max="6" width="35.85546875" style="5" customWidth="1"/>
    <col min="7" max="16384" width="9.28515625" style="5"/>
  </cols>
  <sheetData>
    <row r="1" spans="1:6" s="21" customFormat="1" ht="18.75" x14ac:dyDescent="0.2">
      <c r="A1" s="23" t="s">
        <v>93</v>
      </c>
      <c r="B1" s="22"/>
      <c r="C1" s="20"/>
      <c r="D1" s="20"/>
      <c r="E1" s="20"/>
      <c r="F1" s="5"/>
    </row>
    <row r="2" spans="1:6" ht="18.75" x14ac:dyDescent="0.2">
      <c r="A2" s="23" t="s">
        <v>97</v>
      </c>
      <c r="C2" s="11"/>
      <c r="D2" s="11"/>
      <c r="E2" s="11"/>
    </row>
    <row r="3" spans="1:6" ht="25.5" x14ac:dyDescent="0.2">
      <c r="A3" s="19" t="s">
        <v>4</v>
      </c>
      <c r="B3" s="18" t="s">
        <v>85</v>
      </c>
      <c r="C3" s="18" t="s">
        <v>86</v>
      </c>
      <c r="D3" s="18" t="s">
        <v>88</v>
      </c>
      <c r="E3" s="18" t="s">
        <v>87</v>
      </c>
      <c r="F3" s="17" t="s">
        <v>100</v>
      </c>
    </row>
    <row r="4" spans="1:6" x14ac:dyDescent="0.2">
      <c r="A4" s="6" t="s">
        <v>0</v>
      </c>
      <c r="B4" s="12">
        <v>0.2437649628807998</v>
      </c>
      <c r="C4" s="12">
        <v>0.18291124683569945</v>
      </c>
      <c r="D4" s="12">
        <v>7.5857755251551626E-2</v>
      </c>
      <c r="E4" s="12">
        <v>0.92888176498950925</v>
      </c>
      <c r="F4" s="29"/>
    </row>
    <row r="5" spans="1:6" x14ac:dyDescent="0.2">
      <c r="A5" s="9" t="s">
        <v>22</v>
      </c>
      <c r="B5" s="13">
        <v>2.9305786471885299E-2</v>
      </c>
      <c r="C5" s="13">
        <v>1.2156967256382E-2</v>
      </c>
      <c r="D5" s="13">
        <v>7.1208044943015204E-3</v>
      </c>
      <c r="E5" s="13">
        <v>0.202590666823045</v>
      </c>
      <c r="F5" s="8" t="s">
        <v>89</v>
      </c>
    </row>
    <row r="6" spans="1:6" x14ac:dyDescent="0.2">
      <c r="A6" s="9" t="s">
        <v>23</v>
      </c>
      <c r="B6" s="13">
        <v>4.5274870245598703E-2</v>
      </c>
      <c r="C6" s="13">
        <v>1.0238300085121201E-2</v>
      </c>
      <c r="D6" s="13">
        <v>9.0829407909201795E-3</v>
      </c>
      <c r="E6" s="13">
        <v>0.39212114104017598</v>
      </c>
      <c r="F6" s="8" t="s">
        <v>89</v>
      </c>
    </row>
    <row r="7" spans="1:6" x14ac:dyDescent="0.2">
      <c r="A7" s="9" t="s">
        <v>13</v>
      </c>
      <c r="B7" s="13">
        <v>8.8408238522698201E-3</v>
      </c>
      <c r="C7" s="13">
        <v>6.4567409510664104E-3</v>
      </c>
      <c r="D7" s="13">
        <v>1.61899274239779E-3</v>
      </c>
      <c r="E7" s="13">
        <v>3.61885400784498E-2</v>
      </c>
      <c r="F7" s="8" t="s">
        <v>89</v>
      </c>
    </row>
    <row r="8" spans="1:6" x14ac:dyDescent="0.2">
      <c r="A8" s="9" t="s">
        <v>24</v>
      </c>
      <c r="B8" s="13">
        <v>7.6184605874720202E-2</v>
      </c>
      <c r="C8" s="13">
        <v>5.88083657127835E-2</v>
      </c>
      <c r="D8" s="13">
        <v>2.40877563155554E-2</v>
      </c>
      <c r="E8" s="13">
        <v>0.27508242438458602</v>
      </c>
      <c r="F8" s="8" t="s">
        <v>89</v>
      </c>
    </row>
    <row r="9" spans="1:6" x14ac:dyDescent="0.2">
      <c r="A9" s="9" t="s">
        <v>79</v>
      </c>
      <c r="B9" s="13">
        <v>7.3115982576862401E-2</v>
      </c>
      <c r="C9" s="13">
        <v>8.6097654073580901E-2</v>
      </c>
      <c r="D9" s="13">
        <v>6.0057030919274E-3</v>
      </c>
      <c r="E9" s="13">
        <v>7.9883237551637409E-3</v>
      </c>
      <c r="F9" s="8" t="s">
        <v>101</v>
      </c>
    </row>
    <row r="10" spans="1:6" x14ac:dyDescent="0.2">
      <c r="A10" s="9" t="s">
        <v>25</v>
      </c>
      <c r="B10" s="13">
        <v>7.1291827359260098E-3</v>
      </c>
      <c r="C10" s="13">
        <v>7.1453112519575803E-3</v>
      </c>
      <c r="D10" s="13">
        <v>4.8583600133177496E-3</v>
      </c>
      <c r="E10" s="13">
        <v>8.7702151504489307E-3</v>
      </c>
      <c r="F10" s="8" t="s">
        <v>91</v>
      </c>
    </row>
    <row r="11" spans="1:6" x14ac:dyDescent="0.2">
      <c r="A11" s="9" t="s">
        <v>26</v>
      </c>
      <c r="B11" s="13">
        <v>3.9137111235374002E-3</v>
      </c>
      <c r="C11" s="13">
        <v>2.0079075048078398E-3</v>
      </c>
      <c r="D11" s="13">
        <v>2.3083197803131599E-2</v>
      </c>
      <c r="E11" s="13">
        <v>6.1404537576397302E-3</v>
      </c>
      <c r="F11" s="8" t="s">
        <v>90</v>
      </c>
    </row>
    <row r="12" spans="1:6" x14ac:dyDescent="0.2">
      <c r="A12" s="6" t="s">
        <v>1</v>
      </c>
      <c r="B12" s="14">
        <v>0.12878667551992284</v>
      </c>
      <c r="C12" s="14">
        <v>0.1199674029488655</v>
      </c>
      <c r="D12" s="14">
        <v>0.35808526817970693</v>
      </c>
      <c r="E12" s="14">
        <v>2.8419145913965872E-2</v>
      </c>
      <c r="F12" s="8"/>
    </row>
    <row r="13" spans="1:6" x14ac:dyDescent="0.2">
      <c r="A13" s="9" t="s">
        <v>75</v>
      </c>
      <c r="B13" s="13">
        <v>1.42259128762056E-2</v>
      </c>
      <c r="C13" s="13">
        <v>7.8328674581493504E-3</v>
      </c>
      <c r="D13" s="13">
        <v>0.10327653731761099</v>
      </c>
      <c r="E13" s="13">
        <v>2.2153589533080499E-3</v>
      </c>
      <c r="F13" s="8" t="s">
        <v>90</v>
      </c>
    </row>
    <row r="14" spans="1:6" x14ac:dyDescent="0.2">
      <c r="A14" s="10" t="s">
        <v>27</v>
      </c>
      <c r="B14" s="13">
        <v>5.5378240322449335E-3</v>
      </c>
      <c r="C14" s="13">
        <v>1.7199046101788349E-3</v>
      </c>
      <c r="D14" s="13">
        <v>5.5367248813130564E-2</v>
      </c>
      <c r="E14" s="13">
        <v>1.0034272906159999E-3</v>
      </c>
      <c r="F14" s="8" t="s">
        <v>90</v>
      </c>
    </row>
    <row r="15" spans="1:6" x14ac:dyDescent="0.2">
      <c r="A15" s="10" t="s">
        <v>28</v>
      </c>
      <c r="B15" s="13">
        <v>4.5188757857268528E-3</v>
      </c>
      <c r="C15" s="13">
        <v>1.6793408222029163E-3</v>
      </c>
      <c r="D15" s="13">
        <v>4.2522165000900107E-2</v>
      </c>
      <c r="E15" s="13">
        <v>4.0397722089735002E-4</v>
      </c>
      <c r="F15" s="8" t="s">
        <v>90</v>
      </c>
    </row>
    <row r="16" spans="1:6" x14ac:dyDescent="0.2">
      <c r="A16" s="9" t="s">
        <v>76</v>
      </c>
      <c r="B16" s="13">
        <v>1.44644211666781E-3</v>
      </c>
      <c r="C16" s="13">
        <v>8.2344489591109195E-4</v>
      </c>
      <c r="D16" s="13">
        <v>9.9949196330105395E-3</v>
      </c>
      <c r="E16" s="13">
        <v>3.7791417438784398E-4</v>
      </c>
      <c r="F16" s="8" t="s">
        <v>90</v>
      </c>
    </row>
    <row r="17" spans="1:6" x14ac:dyDescent="0.2">
      <c r="A17" s="9" t="s">
        <v>77</v>
      </c>
      <c r="B17" s="13">
        <v>1.37113253742991E-2</v>
      </c>
      <c r="C17" s="13">
        <v>1.23395043123679E-2</v>
      </c>
      <c r="D17" s="13">
        <v>4.33880843060604E-2</v>
      </c>
      <c r="E17" s="13">
        <v>2.81480902302671E-3</v>
      </c>
      <c r="F17" s="8" t="s">
        <v>102</v>
      </c>
    </row>
    <row r="18" spans="1:6" x14ac:dyDescent="0.2">
      <c r="A18" s="9" t="s">
        <v>84</v>
      </c>
      <c r="B18" s="13">
        <v>3.8800008152989501E-3</v>
      </c>
      <c r="C18" s="13">
        <v>4.3078742830422604E-3</v>
      </c>
      <c r="D18" s="13">
        <v>3.3899819584773099E-3</v>
      </c>
      <c r="E18" s="13">
        <v>3.7791417438784398E-4</v>
      </c>
      <c r="F18" s="8" t="s">
        <v>102</v>
      </c>
    </row>
    <row r="19" spans="1:6" x14ac:dyDescent="0.2">
      <c r="A19" s="9" t="s">
        <v>30</v>
      </c>
      <c r="B19" s="13">
        <v>4.9366855035983296E-4</v>
      </c>
      <c r="C19" s="13">
        <v>2.3526997026031201E-4</v>
      </c>
      <c r="D19" s="13">
        <v>3.2425914385435101E-3</v>
      </c>
      <c r="E19" s="13">
        <v>6.7763920924716903E-4</v>
      </c>
      <c r="F19" s="8" t="s">
        <v>102</v>
      </c>
    </row>
    <row r="20" spans="1:6" x14ac:dyDescent="0.2">
      <c r="A20" s="9" t="s">
        <v>78</v>
      </c>
      <c r="B20" s="13">
        <v>8.3089504488490003E-3</v>
      </c>
      <c r="C20" s="13">
        <v>6.8106600011562804E-3</v>
      </c>
      <c r="D20" s="13">
        <v>3.4949977039301403E-2</v>
      </c>
      <c r="E20" s="13">
        <v>9.5130119759698705E-4</v>
      </c>
      <c r="F20" s="8" t="s">
        <v>102</v>
      </c>
    </row>
    <row r="21" spans="1:6" x14ac:dyDescent="0.2">
      <c r="A21" s="9" t="s">
        <v>31</v>
      </c>
      <c r="B21" s="13">
        <v>7.48306014093085E-3</v>
      </c>
      <c r="C21" s="13">
        <v>7.6178793818769998E-3</v>
      </c>
      <c r="D21" s="13">
        <v>1.38270731512892E-2</v>
      </c>
      <c r="E21" s="13">
        <v>1.26405775571107E-3</v>
      </c>
      <c r="F21" s="8" t="s">
        <v>102</v>
      </c>
    </row>
    <row r="22" spans="1:6" x14ac:dyDescent="0.2">
      <c r="A22" s="9" t="s">
        <v>80</v>
      </c>
      <c r="B22" s="13">
        <v>9.0576439778996994E-3</v>
      </c>
      <c r="C22" s="13">
        <v>1.0474584150080899E-2</v>
      </c>
      <c r="D22" s="13">
        <v>1.6922274069899E-3</v>
      </c>
      <c r="E22" s="13">
        <v>1.9807915347224898E-3</v>
      </c>
      <c r="F22" s="8" t="s">
        <v>91</v>
      </c>
    </row>
    <row r="23" spans="1:6" x14ac:dyDescent="0.2">
      <c r="A23" s="9" t="s">
        <v>81</v>
      </c>
      <c r="B23" s="13">
        <v>2.1827366690000499E-2</v>
      </c>
      <c r="C23" s="13">
        <v>2.5087688768404601E-2</v>
      </c>
      <c r="D23" s="13">
        <v>8.7107797280873492E-3</v>
      </c>
      <c r="E23" s="13">
        <v>2.52811551142213E-3</v>
      </c>
      <c r="F23" s="8" t="s">
        <v>103</v>
      </c>
    </row>
    <row r="24" spans="1:6" x14ac:dyDescent="0.2">
      <c r="A24" s="9" t="s">
        <v>29</v>
      </c>
      <c r="B24" s="13">
        <v>2.0639750539280001E-2</v>
      </c>
      <c r="C24" s="13">
        <v>2.0955252868358101E-2</v>
      </c>
      <c r="D24" s="13">
        <v>3.03910040195992E-2</v>
      </c>
      <c r="E24" s="13">
        <v>1.00968242177828E-2</v>
      </c>
      <c r="F24" s="8" t="s">
        <v>91</v>
      </c>
    </row>
    <row r="25" spans="1:6" x14ac:dyDescent="0.2">
      <c r="A25" s="9" t="s">
        <v>82</v>
      </c>
      <c r="B25" s="13">
        <v>3.0490456168783301E-4</v>
      </c>
      <c r="C25" s="13">
        <v>3.5290495539046799E-4</v>
      </c>
      <c r="D25" s="13">
        <v>1.38178612437934E-4</v>
      </c>
      <c r="E25" s="13">
        <v>0</v>
      </c>
      <c r="F25" s="8" t="s">
        <v>91</v>
      </c>
    </row>
    <row r="26" spans="1:6" x14ac:dyDescent="0.2">
      <c r="A26" s="9" t="s">
        <v>83</v>
      </c>
      <c r="B26" s="13">
        <v>1.73509496104719E-2</v>
      </c>
      <c r="C26" s="13">
        <v>1.97302264714855E-2</v>
      </c>
      <c r="D26" s="13">
        <v>7.1944997542684203E-3</v>
      </c>
      <c r="E26" s="13">
        <v>3.7270156508594299E-3</v>
      </c>
      <c r="F26" s="8" t="s">
        <v>91</v>
      </c>
    </row>
    <row r="27" spans="1:6" x14ac:dyDescent="0.2">
      <c r="A27" s="6" t="s">
        <v>2</v>
      </c>
      <c r="B27" s="14">
        <v>3.6405867422816388E-2</v>
      </c>
      <c r="C27" s="14">
        <v>1.6968238148205382E-2</v>
      </c>
      <c r="D27" s="14">
        <v>0.30024277982188935</v>
      </c>
      <c r="E27" s="14">
        <v>5.3324993158450368E-3</v>
      </c>
      <c r="F27" s="8"/>
    </row>
    <row r="28" spans="1:6" x14ac:dyDescent="0.2">
      <c r="A28" s="9" t="s">
        <v>32</v>
      </c>
      <c r="B28" s="13">
        <v>1.73248441818117E-2</v>
      </c>
      <c r="C28" s="13">
        <v>8.2587872318964795E-3</v>
      </c>
      <c r="D28" s="13">
        <v>0.14171230015334699</v>
      </c>
      <c r="E28" s="13">
        <v>1.7853186859011999E-3</v>
      </c>
      <c r="F28" s="8" t="s">
        <v>90</v>
      </c>
    </row>
    <row r="29" spans="1:6" x14ac:dyDescent="0.2">
      <c r="A29" s="9" t="s">
        <v>33</v>
      </c>
      <c r="B29" s="13">
        <v>5.1205206430698404E-3</v>
      </c>
      <c r="C29" s="13">
        <v>1.47652188232334E-3</v>
      </c>
      <c r="D29" s="13">
        <v>5.3686996885885199E-2</v>
      </c>
      <c r="E29" s="13">
        <v>0</v>
      </c>
      <c r="F29" s="8" t="s">
        <v>90</v>
      </c>
    </row>
    <row r="30" spans="1:6" x14ac:dyDescent="0.2">
      <c r="A30" s="9" t="s">
        <v>34</v>
      </c>
      <c r="B30" s="13">
        <v>2.5533199433093201E-3</v>
      </c>
      <c r="C30" s="13">
        <v>9.7353091142198098E-4</v>
      </c>
      <c r="D30" s="13">
        <v>2.2873166312225999E-2</v>
      </c>
      <c r="E30" s="13">
        <v>9.1220662783272704E-4</v>
      </c>
      <c r="F30" s="8" t="s">
        <v>90</v>
      </c>
    </row>
    <row r="31" spans="1:6" x14ac:dyDescent="0.2">
      <c r="A31" s="9" t="s">
        <v>35</v>
      </c>
      <c r="B31" s="13">
        <v>3.3277734033576698E-4</v>
      </c>
      <c r="C31" s="13">
        <v>4.86765455710991E-5</v>
      </c>
      <c r="D31" s="13">
        <v>4.0348154831876702E-3</v>
      </c>
      <c r="E31" s="13">
        <v>0</v>
      </c>
      <c r="F31" s="8" t="s">
        <v>90</v>
      </c>
    </row>
    <row r="32" spans="1:6" x14ac:dyDescent="0.2">
      <c r="A32" s="9" t="s">
        <v>36</v>
      </c>
      <c r="B32" s="13">
        <v>6.5997446150351897E-3</v>
      </c>
      <c r="C32" s="13">
        <v>1.9880312486996398E-3</v>
      </c>
      <c r="D32" s="13">
        <v>6.7500252175930697E-2</v>
      </c>
      <c r="E32" s="13">
        <v>5.6296180460533999E-4</v>
      </c>
      <c r="F32" s="8" t="s">
        <v>90</v>
      </c>
    </row>
    <row r="33" spans="1:6" x14ac:dyDescent="0.2">
      <c r="A33" s="9" t="s">
        <v>17</v>
      </c>
      <c r="B33" s="13">
        <v>4.4746606992545701E-3</v>
      </c>
      <c r="C33" s="13">
        <v>4.2226903282928403E-3</v>
      </c>
      <c r="D33" s="13">
        <v>1.0435248811312799E-2</v>
      </c>
      <c r="E33" s="13">
        <v>2.0720121975057698E-3</v>
      </c>
      <c r="F33" s="8" t="s">
        <v>91</v>
      </c>
    </row>
    <row r="34" spans="1:6" x14ac:dyDescent="0.2">
      <c r="A34" s="6" t="s">
        <v>3</v>
      </c>
      <c r="B34" s="12">
        <v>3.7188127448371598E-2</v>
      </c>
      <c r="C34" s="12">
        <v>2.8155528053023109E-2</v>
      </c>
      <c r="D34" s="12">
        <v>0.18364121831151323</v>
      </c>
      <c r="E34" s="12">
        <v>3.974614592699737E-3</v>
      </c>
      <c r="F34" s="8"/>
    </row>
    <row r="35" spans="1:6" x14ac:dyDescent="0.2">
      <c r="A35" s="9" t="s">
        <v>11</v>
      </c>
      <c r="B35" s="13">
        <v>2.4946706157971598E-3</v>
      </c>
      <c r="C35" s="13">
        <v>1.7239609889764299E-3</v>
      </c>
      <c r="D35" s="13">
        <v>1.3119598655607001E-2</v>
      </c>
      <c r="E35" s="13">
        <v>1.1337425231635299E-3</v>
      </c>
      <c r="F35" s="8" t="s">
        <v>90</v>
      </c>
    </row>
    <row r="36" spans="1:6" x14ac:dyDescent="0.2">
      <c r="A36" s="9" t="s">
        <v>37</v>
      </c>
      <c r="B36" s="13">
        <v>4.79101450468621E-3</v>
      </c>
      <c r="C36" s="13">
        <v>4.8909787351960601E-3</v>
      </c>
      <c r="D36" s="13">
        <v>9.2598094148407407E-3</v>
      </c>
      <c r="E36" s="13">
        <v>3.6488265113309099E-4</v>
      </c>
      <c r="F36" s="8" t="s">
        <v>90</v>
      </c>
    </row>
    <row r="37" spans="1:6" x14ac:dyDescent="0.2">
      <c r="A37" s="9" t="s">
        <v>14</v>
      </c>
      <c r="B37" s="13">
        <v>5.7098325763261398E-4</v>
      </c>
      <c r="C37" s="13">
        <v>6.3380918712368595E-4</v>
      </c>
      <c r="D37" s="13">
        <v>5.7113826474346002E-4</v>
      </c>
      <c r="E37" s="13">
        <v>0</v>
      </c>
      <c r="F37" s="8" t="s">
        <v>90</v>
      </c>
    </row>
    <row r="38" spans="1:6" x14ac:dyDescent="0.2">
      <c r="A38" s="9" t="s">
        <v>16</v>
      </c>
      <c r="B38" s="13">
        <v>1.1639122911626201E-3</v>
      </c>
      <c r="C38" s="13">
        <v>8.4778316869664201E-4</v>
      </c>
      <c r="D38" s="13">
        <v>6.1259184847483996E-3</v>
      </c>
      <c r="E38" s="13">
        <v>1.30315232547532E-4</v>
      </c>
      <c r="F38" s="8" t="s">
        <v>90</v>
      </c>
    </row>
    <row r="39" spans="1:6" x14ac:dyDescent="0.2">
      <c r="A39" s="9" t="s">
        <v>38</v>
      </c>
      <c r="B39" s="13">
        <v>8.3224199417441195E-3</v>
      </c>
      <c r="C39" s="13">
        <v>3.8048833121409101E-3</v>
      </c>
      <c r="D39" s="13">
        <v>6.9301180091371706E-2</v>
      </c>
      <c r="E39" s="13">
        <v>1.36830994174909E-3</v>
      </c>
      <c r="F39" s="8" t="s">
        <v>90</v>
      </c>
    </row>
    <row r="40" spans="1:6" x14ac:dyDescent="0.2">
      <c r="A40" s="9" t="s">
        <v>39</v>
      </c>
      <c r="B40" s="13">
        <v>1.5322738223953901E-3</v>
      </c>
      <c r="C40" s="13">
        <v>1.0589176851112799E-3</v>
      </c>
      <c r="D40" s="13">
        <v>8.7439425950724507E-3</v>
      </c>
      <c r="E40" s="13">
        <v>1.5637827905703899E-4</v>
      </c>
      <c r="F40" s="8" t="s">
        <v>90</v>
      </c>
    </row>
    <row r="41" spans="1:6" x14ac:dyDescent="0.2">
      <c r="A41" s="9" t="s">
        <v>15</v>
      </c>
      <c r="B41" s="13">
        <v>1.18267845407901E-2</v>
      </c>
      <c r="C41" s="13">
        <v>1.01287778575862E-2</v>
      </c>
      <c r="D41" s="13">
        <v>4.5473660162574397E-2</v>
      </c>
      <c r="E41" s="13">
        <v>7.6885987203044199E-4</v>
      </c>
      <c r="F41" s="8" t="s">
        <v>90</v>
      </c>
    </row>
    <row r="42" spans="1:6" x14ac:dyDescent="0.2">
      <c r="A42" s="9" t="s">
        <v>40</v>
      </c>
      <c r="B42" s="13">
        <v>4.4970650652784803E-3</v>
      </c>
      <c r="C42" s="13">
        <v>3.9549693276517998E-3</v>
      </c>
      <c r="D42" s="13">
        <v>1.64008801056332E-2</v>
      </c>
      <c r="E42" s="13">
        <v>5.2126093019012999E-5</v>
      </c>
      <c r="F42" s="8" t="s">
        <v>90</v>
      </c>
    </row>
    <row r="43" spans="1:6" x14ac:dyDescent="0.2">
      <c r="A43" s="9" t="s">
        <v>41</v>
      </c>
      <c r="B43" s="13">
        <v>1.9355181886062001E-3</v>
      </c>
      <c r="C43" s="13">
        <v>1.1114477905401E-3</v>
      </c>
      <c r="D43" s="13">
        <v>1.3906295555753701E-2</v>
      </c>
      <c r="E43" s="13">
        <v>0</v>
      </c>
      <c r="F43" s="8" t="s">
        <v>90</v>
      </c>
    </row>
    <row r="44" spans="1:6" x14ac:dyDescent="0.2">
      <c r="A44" s="9" t="s">
        <v>42</v>
      </c>
      <c r="B44" s="13">
        <v>5.3485220278711301E-5</v>
      </c>
      <c r="C44" s="13">
        <v>0</v>
      </c>
      <c r="D44" s="13">
        <v>7.3879498116815299E-4</v>
      </c>
      <c r="E44" s="13">
        <v>0</v>
      </c>
      <c r="F44" s="8" t="s">
        <v>90</v>
      </c>
    </row>
    <row r="45" spans="1:6" x14ac:dyDescent="0.2">
      <c r="A45" s="6" t="s">
        <v>43</v>
      </c>
      <c r="B45" s="14">
        <v>0.46822995847041393</v>
      </c>
      <c r="C45" s="14">
        <v>0.5531811542207774</v>
      </c>
      <c r="D45" s="14">
        <v>4.7068241350108217E-2</v>
      </c>
      <c r="E45" s="14">
        <v>2.7866609327964361E-2</v>
      </c>
      <c r="F45" s="8"/>
    </row>
    <row r="46" spans="1:6" x14ac:dyDescent="0.2">
      <c r="A46" s="9" t="s">
        <v>18</v>
      </c>
      <c r="B46" s="13">
        <v>9.4065113880722806E-2</v>
      </c>
      <c r="C46" s="13">
        <v>0.112374875924379</v>
      </c>
      <c r="D46" s="13">
        <v>2.37667213393246E-4</v>
      </c>
      <c r="E46" s="13">
        <v>1.5559638766175399E-3</v>
      </c>
      <c r="F46" s="8" t="s">
        <v>101</v>
      </c>
    </row>
    <row r="47" spans="1:6" x14ac:dyDescent="0.2">
      <c r="A47" s="9" t="s">
        <v>12</v>
      </c>
      <c r="B47" s="13">
        <v>0.18611468349215299</v>
      </c>
      <c r="C47" s="13">
        <v>0.21911848398300199</v>
      </c>
      <c r="D47" s="13">
        <v>3.10063594403228E-2</v>
      </c>
      <c r="E47" s="13">
        <v>8.3297496644382796E-3</v>
      </c>
      <c r="F47" s="8" t="s">
        <v>101</v>
      </c>
    </row>
    <row r="48" spans="1:6" x14ac:dyDescent="0.2">
      <c r="A48" s="9" t="s">
        <v>45</v>
      </c>
      <c r="B48" s="13">
        <v>1.6277990785778299E-2</v>
      </c>
      <c r="C48" s="13">
        <v>1.9269827477958801E-2</v>
      </c>
      <c r="D48" s="13">
        <v>9.0276693459450004E-4</v>
      </c>
      <c r="E48" s="13">
        <v>1.19629383478635E-3</v>
      </c>
      <c r="F48" s="30" t="s">
        <v>104</v>
      </c>
    </row>
    <row r="49" spans="1:6" x14ac:dyDescent="0.2">
      <c r="A49" s="9" t="s">
        <v>46</v>
      </c>
      <c r="B49" s="13">
        <v>2.3343116017676999E-2</v>
      </c>
      <c r="C49" s="13">
        <v>2.77243349868391E-2</v>
      </c>
      <c r="D49" s="13">
        <v>6.5404543220622005E-4</v>
      </c>
      <c r="E49" s="13">
        <v>1.3943729882586E-3</v>
      </c>
      <c r="F49" s="30" t="s">
        <v>104</v>
      </c>
    </row>
    <row r="50" spans="1:6" x14ac:dyDescent="0.2">
      <c r="A50" s="9" t="s">
        <v>50</v>
      </c>
      <c r="B50" s="13">
        <v>1.2451838381781001E-2</v>
      </c>
      <c r="C50" s="13">
        <v>1.38018288588054E-2</v>
      </c>
      <c r="D50" s="13">
        <v>1.7778981467014099E-3</v>
      </c>
      <c r="E50" s="13">
        <v>8.5877738248823898E-3</v>
      </c>
      <c r="F50" s="30" t="s">
        <v>104</v>
      </c>
    </row>
    <row r="51" spans="1:6" x14ac:dyDescent="0.2">
      <c r="A51" s="9" t="s">
        <v>44</v>
      </c>
      <c r="B51" s="13">
        <v>4.1643317743991402E-2</v>
      </c>
      <c r="C51" s="13">
        <v>4.9589230800557202E-2</v>
      </c>
      <c r="D51" s="13">
        <v>1.91607675913935E-3</v>
      </c>
      <c r="E51" s="13">
        <v>7.1673377901142904E-4</v>
      </c>
      <c r="F51" s="8" t="s">
        <v>91</v>
      </c>
    </row>
    <row r="52" spans="1:6" x14ac:dyDescent="0.2">
      <c r="A52" s="9" t="s">
        <v>47</v>
      </c>
      <c r="B52" s="13">
        <v>1.7037317373079699E-2</v>
      </c>
      <c r="C52" s="13">
        <v>2.0388373931394699E-2</v>
      </c>
      <c r="D52" s="13">
        <v>0</v>
      </c>
      <c r="E52" s="13">
        <v>0</v>
      </c>
      <c r="F52" s="8" t="s">
        <v>91</v>
      </c>
    </row>
    <row r="53" spans="1:6" x14ac:dyDescent="0.2">
      <c r="A53" s="9" t="s">
        <v>48</v>
      </c>
      <c r="B53" s="13">
        <v>3.6012273425408803E-2</v>
      </c>
      <c r="C53" s="13">
        <v>4.2880994364040102E-2</v>
      </c>
      <c r="D53" s="13">
        <v>1.23439560444554E-3</v>
      </c>
      <c r="E53" s="13">
        <v>9.7736424410649401E-4</v>
      </c>
      <c r="F53" s="8" t="s">
        <v>91</v>
      </c>
    </row>
    <row r="54" spans="1:6" x14ac:dyDescent="0.2">
      <c r="A54" s="9" t="s">
        <v>49</v>
      </c>
      <c r="B54" s="13">
        <v>1.17973662525941E-2</v>
      </c>
      <c r="C54" s="13">
        <v>1.39312273424486E-2</v>
      </c>
      <c r="D54" s="13">
        <v>7.7932737414994704E-4</v>
      </c>
      <c r="E54" s="13">
        <v>1.0816164301445199E-3</v>
      </c>
      <c r="F54" s="8" t="s">
        <v>91</v>
      </c>
    </row>
    <row r="55" spans="1:6" x14ac:dyDescent="0.2">
      <c r="A55" s="9" t="s">
        <v>51</v>
      </c>
      <c r="B55" s="13">
        <v>2.4837830469837299E-2</v>
      </c>
      <c r="C55" s="13">
        <v>2.8806374031096701E-2</v>
      </c>
      <c r="D55" s="13">
        <v>8.0991090703620896E-3</v>
      </c>
      <c r="E55" s="13">
        <v>1.9547284882129902E-3</v>
      </c>
      <c r="F55" s="8" t="s">
        <v>91</v>
      </c>
    </row>
    <row r="56" spans="1:6" x14ac:dyDescent="0.2">
      <c r="A56" s="9" t="s">
        <v>19</v>
      </c>
      <c r="B56" s="13">
        <v>4.64911064739062E-3</v>
      </c>
      <c r="C56" s="13">
        <v>5.2956025202558201E-3</v>
      </c>
      <c r="D56" s="13">
        <v>4.6059537479311202E-4</v>
      </c>
      <c r="E56" s="13">
        <v>2.0720121975057698E-3</v>
      </c>
      <c r="F56" s="8" t="s">
        <v>91</v>
      </c>
    </row>
    <row r="57" spans="1:6" x14ac:dyDescent="0.2">
      <c r="A57" s="6" t="s">
        <v>52</v>
      </c>
      <c r="B57" s="14">
        <v>9.9467293041856E-3</v>
      </c>
      <c r="C57" s="14">
        <v>1.1234546717809659E-2</v>
      </c>
      <c r="D57" s="14">
        <v>7.53534033161532E-3</v>
      </c>
      <c r="E57" s="14">
        <v>1.4334675580228521E-4</v>
      </c>
      <c r="F57" s="8"/>
    </row>
    <row r="58" spans="1:6" x14ac:dyDescent="0.2">
      <c r="A58" s="9" t="s">
        <v>53</v>
      </c>
      <c r="B58" s="13">
        <v>5.8782055264494995E-4</v>
      </c>
      <c r="C58" s="13">
        <v>5.1110372849653995E-4</v>
      </c>
      <c r="D58" s="13">
        <v>2.2200697065028001E-3</v>
      </c>
      <c r="E58" s="13">
        <v>0</v>
      </c>
      <c r="F58" s="30" t="s">
        <v>52</v>
      </c>
    </row>
    <row r="59" spans="1:6" x14ac:dyDescent="0.2">
      <c r="A59" s="9" t="s">
        <v>54</v>
      </c>
      <c r="B59" s="13">
        <v>2.4403797720503801E-3</v>
      </c>
      <c r="C59" s="13">
        <v>2.8191832643261498E-3</v>
      </c>
      <c r="D59" s="13">
        <v>1.15148843698278E-3</v>
      </c>
      <c r="E59" s="13">
        <v>1.3031523254753201E-5</v>
      </c>
      <c r="F59" s="30" t="s">
        <v>52</v>
      </c>
    </row>
    <row r="60" spans="1:6" x14ac:dyDescent="0.2">
      <c r="A60" s="9" t="s">
        <v>55</v>
      </c>
      <c r="B60" s="13">
        <v>0</v>
      </c>
      <c r="C60" s="13">
        <v>0</v>
      </c>
      <c r="D60" s="13">
        <v>0</v>
      </c>
      <c r="E60" s="13">
        <v>0</v>
      </c>
      <c r="F60" s="30" t="s">
        <v>52</v>
      </c>
    </row>
    <row r="61" spans="1:6" x14ac:dyDescent="0.2">
      <c r="A61" s="9" t="s">
        <v>56</v>
      </c>
      <c r="B61" s="13">
        <v>4.0201459148415898E-3</v>
      </c>
      <c r="C61" s="13">
        <v>4.8108652539436197E-3</v>
      </c>
      <c r="D61" s="13">
        <v>0</v>
      </c>
      <c r="E61" s="13">
        <v>0</v>
      </c>
      <c r="F61" s="30" t="s">
        <v>52</v>
      </c>
    </row>
    <row r="62" spans="1:6" x14ac:dyDescent="0.2">
      <c r="A62" s="9" t="s">
        <v>57</v>
      </c>
      <c r="B62" s="13">
        <v>2.8983830646486801E-3</v>
      </c>
      <c r="C62" s="13">
        <v>3.0933944710433499E-3</v>
      </c>
      <c r="D62" s="13">
        <v>4.1637821881297396E-3</v>
      </c>
      <c r="E62" s="13">
        <v>1.30315232547532E-4</v>
      </c>
      <c r="F62" s="30" t="s">
        <v>52</v>
      </c>
    </row>
    <row r="63" spans="1:6" x14ac:dyDescent="0.2">
      <c r="A63" s="7" t="s">
        <v>58</v>
      </c>
      <c r="B63" s="12">
        <v>6.36515564946665E-2</v>
      </c>
      <c r="C63" s="12">
        <v>7.5073430596426294E-2</v>
      </c>
      <c r="D63" s="12">
        <v>9.5416937842141229E-3</v>
      </c>
      <c r="E63" s="12">
        <v>2.4629578951483647E-3</v>
      </c>
      <c r="F63" s="8"/>
    </row>
    <row r="64" spans="1:6" x14ac:dyDescent="0.2">
      <c r="A64" s="9" t="s">
        <v>59</v>
      </c>
      <c r="B64" s="13">
        <v>1.18603830422411E-2</v>
      </c>
      <c r="C64" s="13">
        <v>1.4168931139987399E-2</v>
      </c>
      <c r="D64" s="13">
        <v>2.8004198787421301E-4</v>
      </c>
      <c r="E64" s="13">
        <v>0</v>
      </c>
      <c r="F64" s="8" t="s">
        <v>105</v>
      </c>
    </row>
    <row r="65" spans="1:6" x14ac:dyDescent="0.2">
      <c r="A65" s="9" t="s">
        <v>60</v>
      </c>
      <c r="B65" s="13">
        <v>2.2977104084312701E-2</v>
      </c>
      <c r="C65" s="13">
        <v>2.7467769027891401E-2</v>
      </c>
      <c r="D65" s="13">
        <v>0</v>
      </c>
      <c r="E65" s="13">
        <v>2.6063046509506498E-4</v>
      </c>
      <c r="F65" s="8" t="s">
        <v>105</v>
      </c>
    </row>
    <row r="66" spans="1:6" x14ac:dyDescent="0.2">
      <c r="A66" s="9" t="s">
        <v>61</v>
      </c>
      <c r="B66" s="13">
        <v>2.8814069368112701E-2</v>
      </c>
      <c r="C66" s="13">
        <v>3.3436730428547501E-2</v>
      </c>
      <c r="D66" s="13">
        <v>9.2616517963399099E-3</v>
      </c>
      <c r="E66" s="13">
        <v>2.2023274300532998E-3</v>
      </c>
      <c r="F66" s="8" t="s">
        <v>105</v>
      </c>
    </row>
    <row r="67" spans="1:6" x14ac:dyDescent="0.2">
      <c r="A67" s="7" t="s">
        <v>62</v>
      </c>
      <c r="B67" s="12">
        <v>3.3964670907678856E-3</v>
      </c>
      <c r="C67" s="12">
        <v>3.3197404079489557E-3</v>
      </c>
      <c r="D67" s="12">
        <v>7.5869270135921528E-3</v>
      </c>
      <c r="E67" s="12">
        <v>7.9492291853994874E-4</v>
      </c>
      <c r="F67" s="8"/>
    </row>
    <row r="68" spans="1:6" x14ac:dyDescent="0.2">
      <c r="A68" s="9" t="s">
        <v>63</v>
      </c>
      <c r="B68" s="13">
        <v>0</v>
      </c>
      <c r="C68" s="13">
        <v>0</v>
      </c>
      <c r="D68" s="13">
        <v>0</v>
      </c>
      <c r="E68" s="13">
        <v>0</v>
      </c>
      <c r="F68" s="30" t="s">
        <v>92</v>
      </c>
    </row>
    <row r="69" spans="1:6" x14ac:dyDescent="0.2">
      <c r="A69" s="9" t="s">
        <v>64</v>
      </c>
      <c r="B69" s="13">
        <v>0</v>
      </c>
      <c r="C69" s="13">
        <v>0</v>
      </c>
      <c r="D69" s="13">
        <v>0</v>
      </c>
      <c r="E69" s="13">
        <v>0</v>
      </c>
      <c r="F69" s="30" t="s">
        <v>92</v>
      </c>
    </row>
    <row r="70" spans="1:6" x14ac:dyDescent="0.2">
      <c r="A70" s="9" t="s">
        <v>65</v>
      </c>
      <c r="B70" s="13">
        <v>3.5953686734820101E-6</v>
      </c>
      <c r="C70" s="13">
        <v>0</v>
      </c>
      <c r="D70" s="13">
        <v>0</v>
      </c>
      <c r="E70" s="13">
        <v>3.9094569764259802E-5</v>
      </c>
      <c r="F70" s="30" t="s">
        <v>92</v>
      </c>
    </row>
    <row r="71" spans="1:6" x14ac:dyDescent="0.2">
      <c r="A71" s="9" t="s">
        <v>66</v>
      </c>
      <c r="B71" s="13">
        <v>3.1208866605317099E-5</v>
      </c>
      <c r="C71" s="13">
        <v>0</v>
      </c>
      <c r="D71" s="13">
        <v>4.1453583731380098E-4</v>
      </c>
      <c r="E71" s="13">
        <v>1.3031523254753201E-5</v>
      </c>
      <c r="F71" s="30" t="s">
        <v>92</v>
      </c>
    </row>
    <row r="72" spans="1:6" x14ac:dyDescent="0.2">
      <c r="A72" s="9" t="s">
        <v>21</v>
      </c>
      <c r="B72" s="13">
        <v>3.21500017755815E-4</v>
      </c>
      <c r="C72" s="13">
        <v>4.0563787975915897E-6</v>
      </c>
      <c r="D72" s="13">
        <v>4.3940798755263003E-3</v>
      </c>
      <c r="E72" s="13">
        <v>0</v>
      </c>
      <c r="F72" s="30" t="s">
        <v>92</v>
      </c>
    </row>
    <row r="73" spans="1:6" x14ac:dyDescent="0.2">
      <c r="A73" s="9" t="s">
        <v>67</v>
      </c>
      <c r="B73" s="13">
        <v>1.02035395294798E-4</v>
      </c>
      <c r="C73" s="13">
        <v>0</v>
      </c>
      <c r="D73" s="13">
        <v>1.40942184686692E-3</v>
      </c>
      <c r="E73" s="13">
        <v>0</v>
      </c>
      <c r="F73" s="30" t="s">
        <v>92</v>
      </c>
    </row>
    <row r="74" spans="1:6" x14ac:dyDescent="0.2">
      <c r="A74" s="9" t="s">
        <v>68</v>
      </c>
      <c r="B74" s="13">
        <v>4.74553480672701E-5</v>
      </c>
      <c r="C74" s="13">
        <v>5.6789303166282302E-5</v>
      </c>
      <c r="D74" s="13">
        <v>0</v>
      </c>
      <c r="E74" s="13">
        <v>0</v>
      </c>
      <c r="F74" s="30" t="s">
        <v>92</v>
      </c>
    </row>
    <row r="75" spans="1:6" x14ac:dyDescent="0.2">
      <c r="A75" s="9" t="s">
        <v>69</v>
      </c>
      <c r="B75" s="13">
        <v>8.9723475236129697E-4</v>
      </c>
      <c r="C75" s="13">
        <v>1.0222074569930799E-3</v>
      </c>
      <c r="D75" s="13">
        <v>2.3029768739655601E-4</v>
      </c>
      <c r="E75" s="13">
        <v>2.8669351160457199E-4</v>
      </c>
      <c r="F75" s="30" t="s">
        <v>92</v>
      </c>
    </row>
    <row r="76" spans="1:6" x14ac:dyDescent="0.2">
      <c r="A76" s="9" t="s">
        <v>70</v>
      </c>
      <c r="B76" s="13">
        <v>1.3053217896695E-4</v>
      </c>
      <c r="C76" s="13">
        <v>1.3386050032052199E-4</v>
      </c>
      <c r="D76" s="13">
        <v>2.5793340988414302E-4</v>
      </c>
      <c r="E76" s="13">
        <v>0</v>
      </c>
      <c r="F76" s="30" t="s">
        <v>92</v>
      </c>
    </row>
    <row r="77" spans="1:6" x14ac:dyDescent="0.2">
      <c r="A77" s="9" t="s">
        <v>71</v>
      </c>
      <c r="B77" s="13">
        <v>0</v>
      </c>
      <c r="C77" s="13">
        <v>0</v>
      </c>
      <c r="D77" s="13">
        <v>0</v>
      </c>
      <c r="E77" s="13">
        <v>0</v>
      </c>
      <c r="F77" s="30" t="s">
        <v>92</v>
      </c>
    </row>
    <row r="78" spans="1:6" x14ac:dyDescent="0.2">
      <c r="A78" s="9" t="s">
        <v>72</v>
      </c>
      <c r="B78" s="13">
        <v>6.4403686662723602E-5</v>
      </c>
      <c r="C78" s="13">
        <v>7.7071197154240194E-5</v>
      </c>
      <c r="D78" s="13">
        <v>0</v>
      </c>
      <c r="E78" s="13">
        <v>0</v>
      </c>
      <c r="F78" s="30" t="s">
        <v>92</v>
      </c>
    </row>
    <row r="79" spans="1:6" x14ac:dyDescent="0.2">
      <c r="A79" s="9" t="s">
        <v>73</v>
      </c>
      <c r="B79" s="13">
        <v>9.9836942202488795E-4</v>
      </c>
      <c r="C79" s="13">
        <v>1.1333522360470901E-3</v>
      </c>
      <c r="D79" s="13">
        <v>2.4503673938993601E-4</v>
      </c>
      <c r="E79" s="13">
        <v>3.6488265113309099E-4</v>
      </c>
      <c r="F79" s="30" t="s">
        <v>92</v>
      </c>
    </row>
    <row r="80" spans="1:6" x14ac:dyDescent="0.2">
      <c r="A80" s="9" t="s">
        <v>74</v>
      </c>
      <c r="B80" s="13">
        <v>8.0013205435534504E-4</v>
      </c>
      <c r="C80" s="13">
        <v>8.9240333547014998E-4</v>
      </c>
      <c r="D80" s="13">
        <v>6.3562161721449604E-4</v>
      </c>
      <c r="E80" s="13">
        <v>9.1220662783272801E-5</v>
      </c>
      <c r="F80" s="30" t="s">
        <v>92</v>
      </c>
    </row>
    <row r="81" spans="1:6" x14ac:dyDescent="0.2">
      <c r="A81" s="7" t="s">
        <v>20</v>
      </c>
      <c r="B81" s="12">
        <v>8.6296553680544306E-3</v>
      </c>
      <c r="C81" s="12">
        <v>9.1887120712443506E-3</v>
      </c>
      <c r="D81" s="12">
        <v>1.04407759558103E-2</v>
      </c>
      <c r="E81" s="28">
        <v>2.1241382905247798E-3</v>
      </c>
      <c r="F81" s="8"/>
    </row>
    <row r="82" spans="1:6" x14ac:dyDescent="0.2">
      <c r="A82" s="9" t="s">
        <v>20</v>
      </c>
      <c r="B82" s="15">
        <v>8.6296553680544306E-3</v>
      </c>
      <c r="C82" s="15">
        <v>9.1887120712443506E-3</v>
      </c>
      <c r="D82" s="15">
        <v>1.04407759558103E-2</v>
      </c>
      <c r="E82" s="26">
        <v>2.1241382905247798E-3</v>
      </c>
      <c r="F82" s="8" t="s">
        <v>91</v>
      </c>
    </row>
    <row r="83" spans="1:6" x14ac:dyDescent="0.2">
      <c r="A83" s="6" t="s">
        <v>5</v>
      </c>
      <c r="B83" s="16">
        <v>0.99999999999999889</v>
      </c>
      <c r="C83" s="16">
        <v>1</v>
      </c>
      <c r="D83" s="16">
        <v>1.0000000000000013</v>
      </c>
      <c r="E83" s="27">
        <v>0.99999999999999978</v>
      </c>
      <c r="F83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workbookViewId="0">
      <selection activeCell="I31" sqref="I31"/>
    </sheetView>
  </sheetViews>
  <sheetFormatPr defaultColWidth="9.28515625" defaultRowHeight="12.75" x14ac:dyDescent="0.2"/>
  <cols>
    <col min="1" max="1" width="48.7109375" style="5" customWidth="1"/>
    <col min="2" max="2" width="9" style="5" bestFit="1" customWidth="1"/>
    <col min="3" max="5" width="8.85546875" style="5" bestFit="1" customWidth="1"/>
    <col min="6" max="6" width="35.85546875" style="5" customWidth="1"/>
    <col min="7" max="16384" width="9.28515625" style="5"/>
  </cols>
  <sheetData>
    <row r="1" spans="1:6" s="21" customFormat="1" ht="18.75" x14ac:dyDescent="0.2">
      <c r="A1" s="23" t="s">
        <v>93</v>
      </c>
      <c r="B1" s="22"/>
      <c r="C1" s="20"/>
      <c r="D1" s="20"/>
      <c r="E1" s="20"/>
      <c r="F1" s="5"/>
    </row>
    <row r="2" spans="1:6" ht="18.75" x14ac:dyDescent="0.2">
      <c r="A2" s="23" t="s">
        <v>98</v>
      </c>
      <c r="C2" s="11"/>
      <c r="D2" s="11"/>
      <c r="E2" s="11"/>
    </row>
    <row r="3" spans="1:6" ht="25.5" x14ac:dyDescent="0.2">
      <c r="A3" s="19" t="s">
        <v>4</v>
      </c>
      <c r="B3" s="18" t="s">
        <v>85</v>
      </c>
      <c r="C3" s="18" t="s">
        <v>86</v>
      </c>
      <c r="D3" s="18" t="s">
        <v>88</v>
      </c>
      <c r="E3" s="18" t="s">
        <v>87</v>
      </c>
      <c r="F3" s="17" t="s">
        <v>100</v>
      </c>
    </row>
    <row r="4" spans="1:6" x14ac:dyDescent="0.2">
      <c r="A4" s="6" t="s">
        <v>0</v>
      </c>
      <c r="B4" s="12">
        <v>0.27611039005340099</v>
      </c>
      <c r="C4" s="12">
        <v>0.20585200238756543</v>
      </c>
      <c r="D4" s="12">
        <v>8.1753967694919674E-2</v>
      </c>
      <c r="E4" s="12">
        <v>0.95891379078565842</v>
      </c>
      <c r="F4" s="29"/>
    </row>
    <row r="5" spans="1:6" x14ac:dyDescent="0.2">
      <c r="A5" s="9" t="s">
        <v>22</v>
      </c>
      <c r="B5" s="13">
        <v>4.62496521156089E-2</v>
      </c>
      <c r="C5" s="13">
        <v>1.7055845174629901E-2</v>
      </c>
      <c r="D5" s="13">
        <v>1.75333011971333E-2</v>
      </c>
      <c r="E5" s="13">
        <v>0.290910487603465</v>
      </c>
      <c r="F5" s="8" t="s">
        <v>89</v>
      </c>
    </row>
    <row r="6" spans="1:6" x14ac:dyDescent="0.2">
      <c r="A6" s="9" t="s">
        <v>23</v>
      </c>
      <c r="B6" s="13">
        <v>4.5530437098288301E-2</v>
      </c>
      <c r="C6" s="13">
        <v>1.55617852676529E-2</v>
      </c>
      <c r="D6" s="13">
        <v>8.1725470042836104E-3</v>
      </c>
      <c r="E6" s="13">
        <v>0.30259837529527001</v>
      </c>
      <c r="F6" s="8" t="s">
        <v>89</v>
      </c>
    </row>
    <row r="7" spans="1:6" x14ac:dyDescent="0.2">
      <c r="A7" s="9" t="s">
        <v>13</v>
      </c>
      <c r="B7" s="13">
        <v>9.98790726445818E-3</v>
      </c>
      <c r="C7" s="13">
        <v>7.6577264049358801E-3</v>
      </c>
      <c r="D7" s="13">
        <v>1.4248826041747399E-3</v>
      </c>
      <c r="E7" s="13">
        <v>3.4222503888920897E-2</v>
      </c>
      <c r="F7" s="8" t="s">
        <v>89</v>
      </c>
    </row>
    <row r="8" spans="1:6" x14ac:dyDescent="0.2">
      <c r="A8" s="9" t="s">
        <v>24</v>
      </c>
      <c r="B8" s="13">
        <v>8.4666039090958503E-2</v>
      </c>
      <c r="C8" s="13">
        <v>5.99391130422708E-2</v>
      </c>
      <c r="D8" s="13">
        <v>3.1404895607063603E-2</v>
      </c>
      <c r="E8" s="13">
        <v>0.31361026291025701</v>
      </c>
      <c r="F8" s="8" t="s">
        <v>89</v>
      </c>
    </row>
    <row r="9" spans="1:6" x14ac:dyDescent="0.2">
      <c r="A9" s="9" t="s">
        <v>79</v>
      </c>
      <c r="B9" s="13">
        <v>7.96902943802138E-2</v>
      </c>
      <c r="C9" s="13">
        <v>9.6171404549820594E-2</v>
      </c>
      <c r="D9" s="13">
        <v>5.4048936748187703E-3</v>
      </c>
      <c r="E9" s="13">
        <v>9.4870465326189306E-3</v>
      </c>
      <c r="F9" s="8" t="s">
        <v>101</v>
      </c>
    </row>
    <row r="10" spans="1:6" x14ac:dyDescent="0.2">
      <c r="A10" s="9" t="s">
        <v>25</v>
      </c>
      <c r="B10" s="13">
        <v>7.4112185898751997E-3</v>
      </c>
      <c r="C10" s="13">
        <v>7.9549318703022696E-3</v>
      </c>
      <c r="D10" s="13">
        <v>4.4823425649971596E-3</v>
      </c>
      <c r="E10" s="13">
        <v>5.4540915288740404E-3</v>
      </c>
      <c r="F10" s="8" t="s">
        <v>91</v>
      </c>
    </row>
    <row r="11" spans="1:6" x14ac:dyDescent="0.2">
      <c r="A11" s="9" t="s">
        <v>26</v>
      </c>
      <c r="B11" s="13">
        <v>2.5748415139980299E-3</v>
      </c>
      <c r="C11" s="13">
        <v>1.51119607795308E-3</v>
      </c>
      <c r="D11" s="13">
        <v>1.3331105042448501E-2</v>
      </c>
      <c r="E11" s="13">
        <v>2.63102302625262E-3</v>
      </c>
      <c r="F11" s="8" t="s">
        <v>90</v>
      </c>
    </row>
    <row r="12" spans="1:6" x14ac:dyDescent="0.2">
      <c r="A12" s="6" t="s">
        <v>1</v>
      </c>
      <c r="B12" s="14">
        <v>0.12057402547566901</v>
      </c>
      <c r="C12" s="14">
        <v>0.11184966223340667</v>
      </c>
      <c r="D12" s="14">
        <v>0.34616242888365262</v>
      </c>
      <c r="E12" s="14">
        <v>1.7944729311901064E-2</v>
      </c>
      <c r="F12" s="8"/>
    </row>
    <row r="13" spans="1:6" x14ac:dyDescent="0.2">
      <c r="A13" s="9" t="s">
        <v>75</v>
      </c>
      <c r="B13" s="13">
        <v>1.52529611683148E-2</v>
      </c>
      <c r="C13" s="13">
        <v>7.5238500691852499E-3</v>
      </c>
      <c r="D13" s="13">
        <v>0.11208174865543701</v>
      </c>
      <c r="E13" s="13">
        <v>1.65159109677172E-3</v>
      </c>
      <c r="F13" s="8" t="s">
        <v>90</v>
      </c>
    </row>
    <row r="14" spans="1:6" x14ac:dyDescent="0.2">
      <c r="A14" s="10" t="s">
        <v>27</v>
      </c>
      <c r="B14" s="13">
        <v>4.2353145602194988E-3</v>
      </c>
      <c r="C14" s="13">
        <v>1.6118710824375526E-3</v>
      </c>
      <c r="D14" s="13">
        <v>3.6158207372380069E-2</v>
      </c>
      <c r="E14" s="13">
        <v>3.264773098269662E-4</v>
      </c>
      <c r="F14" s="8" t="s">
        <v>90</v>
      </c>
    </row>
    <row r="15" spans="1:6" x14ac:dyDescent="0.2">
      <c r="A15" s="10" t="s">
        <v>28</v>
      </c>
      <c r="B15" s="13">
        <v>4.8636073977957293E-3</v>
      </c>
      <c r="C15" s="13">
        <v>1.6118710824375502E-3</v>
      </c>
      <c r="D15" s="13">
        <v>4.3919228960135892E-2</v>
      </c>
      <c r="E15" s="13">
        <v>4.0329550037448904E-4</v>
      </c>
      <c r="F15" s="8" t="s">
        <v>90</v>
      </c>
    </row>
    <row r="16" spans="1:6" x14ac:dyDescent="0.2">
      <c r="A16" s="9" t="s">
        <v>76</v>
      </c>
      <c r="B16" s="13">
        <v>1.3749064798945401E-3</v>
      </c>
      <c r="C16" s="13">
        <v>8.4609844194396405E-4</v>
      </c>
      <c r="D16" s="13">
        <v>8.4894022545678807E-3</v>
      </c>
      <c r="E16" s="13">
        <v>7.6818190547521699E-5</v>
      </c>
      <c r="F16" s="8" t="s">
        <v>90</v>
      </c>
    </row>
    <row r="17" spans="1:6" x14ac:dyDescent="0.2">
      <c r="A17" s="9" t="s">
        <v>77</v>
      </c>
      <c r="B17" s="13">
        <v>1.3012172500324701E-2</v>
      </c>
      <c r="C17" s="13">
        <v>1.18025377636055E-2</v>
      </c>
      <c r="D17" s="13">
        <v>3.9597246065065803E-2</v>
      </c>
      <c r="E17" s="13">
        <v>2.30454571642565E-3</v>
      </c>
      <c r="F17" s="8" t="s">
        <v>102</v>
      </c>
    </row>
    <row r="18" spans="1:6" x14ac:dyDescent="0.2">
      <c r="A18" s="9" t="s">
        <v>84</v>
      </c>
      <c r="B18" s="13">
        <v>4.0130191942155504E-3</v>
      </c>
      <c r="C18" s="13">
        <v>4.3643685454704496E-3</v>
      </c>
      <c r="D18" s="13">
        <v>5.1682182592100896E-3</v>
      </c>
      <c r="E18" s="13">
        <v>4.6090914328512998E-4</v>
      </c>
      <c r="F18" s="8" t="s">
        <v>102</v>
      </c>
    </row>
    <row r="19" spans="1:6" x14ac:dyDescent="0.2">
      <c r="A19" s="9" t="s">
        <v>30</v>
      </c>
      <c r="B19" s="13">
        <v>4.2606113656171703E-3</v>
      </c>
      <c r="C19" s="13">
        <v>5.09801086538388E-3</v>
      </c>
      <c r="D19" s="13">
        <v>1.4103922726068599E-3</v>
      </c>
      <c r="E19" s="13">
        <v>0</v>
      </c>
      <c r="F19" s="8" t="s">
        <v>102</v>
      </c>
    </row>
    <row r="20" spans="1:6" x14ac:dyDescent="0.2">
      <c r="A20" s="9" t="s">
        <v>78</v>
      </c>
      <c r="B20" s="13">
        <v>1.52041503487773E-2</v>
      </c>
      <c r="C20" s="13">
        <v>1.4233732017006701E-2</v>
      </c>
      <c r="D20" s="13">
        <v>4.4321094155618398E-2</v>
      </c>
      <c r="E20" s="13">
        <v>7.6818190547521699E-4</v>
      </c>
      <c r="F20" s="8" t="s">
        <v>102</v>
      </c>
    </row>
    <row r="21" spans="1:6" x14ac:dyDescent="0.2">
      <c r="A21" s="9" t="s">
        <v>31</v>
      </c>
      <c r="B21" s="13">
        <v>6.0816415574967298E-3</v>
      </c>
      <c r="C21" s="13">
        <v>5.7165195365517802E-3</v>
      </c>
      <c r="D21" s="13">
        <v>1.6393395113793501E-2</v>
      </c>
      <c r="E21" s="13">
        <v>1.1330683105759401E-3</v>
      </c>
      <c r="F21" s="8" t="s">
        <v>102</v>
      </c>
    </row>
    <row r="22" spans="1:6" x14ac:dyDescent="0.2">
      <c r="A22" s="9" t="s">
        <v>80</v>
      </c>
      <c r="B22" s="13">
        <v>5.5907952839220603E-3</v>
      </c>
      <c r="C22" s="13">
        <v>6.4809534136878602E-3</v>
      </c>
      <c r="D22" s="13">
        <v>1.80066520283507E-3</v>
      </c>
      <c r="E22" s="13">
        <v>1.63238654913484E-3</v>
      </c>
      <c r="F22" s="8" t="s">
        <v>91</v>
      </c>
    </row>
    <row r="23" spans="1:6" x14ac:dyDescent="0.2">
      <c r="A23" s="9" t="s">
        <v>81</v>
      </c>
      <c r="B23" s="13">
        <v>1.6415975103407299E-2</v>
      </c>
      <c r="C23" s="13">
        <v>1.88979835545585E-2</v>
      </c>
      <c r="D23" s="13">
        <v>1.02514265732219E-2</v>
      </c>
      <c r="E23" s="13">
        <v>2.0740911447830802E-3</v>
      </c>
      <c r="F23" s="8" t="s">
        <v>103</v>
      </c>
    </row>
    <row r="24" spans="1:6" x14ac:dyDescent="0.2">
      <c r="A24" s="9" t="s">
        <v>29</v>
      </c>
      <c r="B24" s="13">
        <v>1.5805288066436201E-2</v>
      </c>
      <c r="C24" s="13">
        <v>1.6852353144288901E-2</v>
      </c>
      <c r="D24" s="13">
        <v>1.9718443197569401E-2</v>
      </c>
      <c r="E24" s="13">
        <v>4.8664323711855003E-3</v>
      </c>
      <c r="F24" s="8" t="s">
        <v>91</v>
      </c>
    </row>
    <row r="25" spans="1:6" x14ac:dyDescent="0.2">
      <c r="A25" s="9" t="s">
        <v>82</v>
      </c>
      <c r="B25" s="13">
        <v>2.1377309263824099E-4</v>
      </c>
      <c r="C25" s="13">
        <v>2.5168751121117902E-4</v>
      </c>
      <c r="D25" s="13">
        <v>8.69419894072724E-5</v>
      </c>
      <c r="E25" s="13">
        <v>1.9204547636880401E-5</v>
      </c>
      <c r="F25" s="8" t="s">
        <v>91</v>
      </c>
    </row>
    <row r="26" spans="1:6" x14ac:dyDescent="0.2">
      <c r="A26" s="9" t="s">
        <v>83</v>
      </c>
      <c r="B26" s="13">
        <v>1.4249809356608901E-2</v>
      </c>
      <c r="C26" s="13">
        <v>1.6557825205637599E-2</v>
      </c>
      <c r="D26" s="13">
        <v>6.7660188118034096E-3</v>
      </c>
      <c r="E26" s="13">
        <v>2.2277275258781302E-3</v>
      </c>
      <c r="F26" s="8" t="s">
        <v>91</v>
      </c>
    </row>
    <row r="27" spans="1:6" x14ac:dyDescent="0.2">
      <c r="A27" s="6" t="s">
        <v>2</v>
      </c>
      <c r="B27" s="14">
        <v>3.9825374621939698E-2</v>
      </c>
      <c r="C27" s="14">
        <v>1.5015569817790359E-2</v>
      </c>
      <c r="D27" s="14">
        <v>0.342683783292973</v>
      </c>
      <c r="E27" s="14">
        <v>2.1355456972211011E-3</v>
      </c>
      <c r="F27" s="8"/>
    </row>
    <row r="28" spans="1:6" x14ac:dyDescent="0.2">
      <c r="A28" s="9" t="s">
        <v>32</v>
      </c>
      <c r="B28" s="13">
        <v>1.8804071449017599E-2</v>
      </c>
      <c r="C28" s="13">
        <v>7.3631984662845002E-3</v>
      </c>
      <c r="D28" s="13">
        <v>0.15928738481516799</v>
      </c>
      <c r="E28" s="13">
        <v>8.06591000748977E-4</v>
      </c>
      <c r="F28" s="8" t="s">
        <v>90</v>
      </c>
    </row>
    <row r="29" spans="1:6" x14ac:dyDescent="0.2">
      <c r="A29" s="9" t="s">
        <v>33</v>
      </c>
      <c r="B29" s="13">
        <v>6.1560783040360296E-3</v>
      </c>
      <c r="C29" s="13">
        <v>1.0281702585648201E-3</v>
      </c>
      <c r="D29" s="13">
        <v>6.6576311399671101E-2</v>
      </c>
      <c r="E29" s="13">
        <v>0</v>
      </c>
      <c r="F29" s="8" t="s">
        <v>90</v>
      </c>
    </row>
    <row r="30" spans="1:6" x14ac:dyDescent="0.2">
      <c r="A30" s="9" t="s">
        <v>34</v>
      </c>
      <c r="B30" s="13">
        <v>3.4944990507414998E-3</v>
      </c>
      <c r="C30" s="13">
        <v>9.42489403684416E-4</v>
      </c>
      <c r="D30" s="13">
        <v>3.3267869235640499E-2</v>
      </c>
      <c r="E30" s="13">
        <v>6.5295461965393404E-4</v>
      </c>
      <c r="F30" s="8" t="s">
        <v>90</v>
      </c>
    </row>
    <row r="31" spans="1:6" x14ac:dyDescent="0.2">
      <c r="A31" s="9" t="s">
        <v>35</v>
      </c>
      <c r="B31" s="13">
        <v>3.2012104393383501E-4</v>
      </c>
      <c r="C31" s="13">
        <v>6.4260641160301105E-5</v>
      </c>
      <c r="D31" s="13">
        <v>3.3520967027026202E-3</v>
      </c>
      <c r="E31" s="13">
        <v>0</v>
      </c>
      <c r="F31" s="8" t="s">
        <v>90</v>
      </c>
    </row>
    <row r="32" spans="1:6" x14ac:dyDescent="0.2">
      <c r="A32" s="9" t="s">
        <v>36</v>
      </c>
      <c r="B32" s="13">
        <v>5.93366308131567E-3</v>
      </c>
      <c r="C32" s="13">
        <v>1.46192958639685E-3</v>
      </c>
      <c r="D32" s="13">
        <v>5.89611591496986E-2</v>
      </c>
      <c r="E32" s="13">
        <v>3.11113671717462E-4</v>
      </c>
      <c r="F32" s="8" t="s">
        <v>90</v>
      </c>
    </row>
    <row r="33" spans="1:6" x14ac:dyDescent="0.2">
      <c r="A33" s="9" t="s">
        <v>17</v>
      </c>
      <c r="B33" s="13">
        <v>5.1169416928950997E-3</v>
      </c>
      <c r="C33" s="13">
        <v>4.15552146169947E-3</v>
      </c>
      <c r="D33" s="13">
        <v>2.1238961990092099E-2</v>
      </c>
      <c r="E33" s="13">
        <v>3.64886405100728E-4</v>
      </c>
      <c r="F33" s="8" t="s">
        <v>91</v>
      </c>
    </row>
    <row r="34" spans="1:6" x14ac:dyDescent="0.2">
      <c r="A34" s="6" t="s">
        <v>3</v>
      </c>
      <c r="B34" s="12">
        <v>3.3683823492551897E-2</v>
      </c>
      <c r="C34" s="12">
        <v>2.5852859196803642E-2</v>
      </c>
      <c r="D34" s="12">
        <v>0.15541701725338786</v>
      </c>
      <c r="E34" s="12">
        <v>2.1701138829674856E-3</v>
      </c>
      <c r="F34" s="8"/>
    </row>
    <row r="35" spans="1:6" x14ac:dyDescent="0.2">
      <c r="A35" s="9" t="s">
        <v>11</v>
      </c>
      <c r="B35" s="13">
        <v>3.14409736827675E-3</v>
      </c>
      <c r="C35" s="13">
        <v>2.0884708377097898E-3</v>
      </c>
      <c r="D35" s="13">
        <v>1.79293702599886E-2</v>
      </c>
      <c r="E35" s="13">
        <v>1.1522728582128201E-4</v>
      </c>
      <c r="F35" s="8" t="s">
        <v>90</v>
      </c>
    </row>
    <row r="36" spans="1:6" x14ac:dyDescent="0.2">
      <c r="A36" s="9" t="s">
        <v>37</v>
      </c>
      <c r="B36" s="13">
        <v>3.8810588571019898E-3</v>
      </c>
      <c r="C36" s="13">
        <v>3.85831599633308E-3</v>
      </c>
      <c r="D36" s="13">
        <v>8.1068575011758893E-3</v>
      </c>
      <c r="E36" s="13">
        <v>8.8340919129649897E-4</v>
      </c>
      <c r="F36" s="8" t="s">
        <v>90</v>
      </c>
    </row>
    <row r="37" spans="1:6" x14ac:dyDescent="0.2">
      <c r="A37" s="9" t="s">
        <v>14</v>
      </c>
      <c r="B37" s="13">
        <v>4.5260354757762202E-4</v>
      </c>
      <c r="C37" s="13">
        <v>4.0430653396689398E-4</v>
      </c>
      <c r="D37" s="13">
        <v>1.3427707252901E-3</v>
      </c>
      <c r="E37" s="13">
        <v>1.5363638109504299E-4</v>
      </c>
      <c r="F37" s="8" t="s">
        <v>90</v>
      </c>
    </row>
    <row r="38" spans="1:6" x14ac:dyDescent="0.2">
      <c r="A38" s="9" t="s">
        <v>16</v>
      </c>
      <c r="B38" s="13">
        <v>1.26753193469949E-3</v>
      </c>
      <c r="C38" s="13">
        <v>1.174095464533E-3</v>
      </c>
      <c r="D38" s="13">
        <v>3.60084739461787E-3</v>
      </c>
      <c r="E38" s="13">
        <v>2.3045457164256499E-4</v>
      </c>
      <c r="F38" s="8" t="s">
        <v>90</v>
      </c>
    </row>
    <row r="39" spans="1:6" x14ac:dyDescent="0.2">
      <c r="A39" s="9" t="s">
        <v>38</v>
      </c>
      <c r="B39" s="13">
        <v>7.5312489152038102E-3</v>
      </c>
      <c r="C39" s="13">
        <v>3.0684456154043802E-3</v>
      </c>
      <c r="D39" s="13">
        <v>6.2627213036371907E-2</v>
      </c>
      <c r="E39" s="13">
        <v>2.8806821455320598E-4</v>
      </c>
      <c r="F39" s="8" t="s">
        <v>90</v>
      </c>
    </row>
    <row r="40" spans="1:6" x14ac:dyDescent="0.2">
      <c r="A40" s="9" t="s">
        <v>39</v>
      </c>
      <c r="B40" s="13">
        <v>1.7204805261870999E-3</v>
      </c>
      <c r="C40" s="13">
        <v>1.1419651439528501E-3</v>
      </c>
      <c r="D40" s="13">
        <v>9.4689486685564997E-3</v>
      </c>
      <c r="E40" s="13">
        <v>3.2647730982696702E-4</v>
      </c>
      <c r="F40" s="8" t="s">
        <v>90</v>
      </c>
    </row>
    <row r="41" spans="1:6" x14ac:dyDescent="0.2">
      <c r="A41" s="9" t="s">
        <v>15</v>
      </c>
      <c r="B41" s="13">
        <v>7.4841668158019499E-3</v>
      </c>
      <c r="C41" s="13">
        <v>6.3738523450873599E-3</v>
      </c>
      <c r="D41" s="13">
        <v>2.86348272223374E-2</v>
      </c>
      <c r="E41" s="13">
        <v>9.6022738184401894E-5</v>
      </c>
      <c r="F41" s="8" t="s">
        <v>90</v>
      </c>
    </row>
    <row r="42" spans="1:6" x14ac:dyDescent="0.2">
      <c r="A42" s="9" t="s">
        <v>40</v>
      </c>
      <c r="B42" s="13">
        <v>3.3422785240847302E-3</v>
      </c>
      <c r="C42" s="13">
        <v>3.6467913858470899E-3</v>
      </c>
      <c r="D42" s="13">
        <v>4.5924690849130402E-3</v>
      </c>
      <c r="E42" s="13">
        <v>7.6818190547521699E-5</v>
      </c>
      <c r="F42" s="8" t="s">
        <v>90</v>
      </c>
    </row>
    <row r="43" spans="1:6" x14ac:dyDescent="0.2">
      <c r="A43" s="9" t="s">
        <v>41</v>
      </c>
      <c r="B43" s="13">
        <v>3.6258007874473502E-3</v>
      </c>
      <c r="C43" s="13">
        <v>3.7324722407274902E-3</v>
      </c>
      <c r="D43" s="13">
        <v>7.3707486575276503E-3</v>
      </c>
      <c r="E43" s="13">
        <v>0</v>
      </c>
      <c r="F43" s="8" t="s">
        <v>90</v>
      </c>
    </row>
    <row r="44" spans="1:6" x14ac:dyDescent="0.2">
      <c r="A44" s="9" t="s">
        <v>42</v>
      </c>
      <c r="B44" s="13">
        <v>1.2345562161710599E-3</v>
      </c>
      <c r="C44" s="13">
        <v>3.6414363324170602E-4</v>
      </c>
      <c r="D44" s="13">
        <v>1.17429647026089E-2</v>
      </c>
      <c r="E44" s="13">
        <v>0</v>
      </c>
      <c r="F44" s="8" t="s">
        <v>90</v>
      </c>
    </row>
    <row r="45" spans="1:6" x14ac:dyDescent="0.2">
      <c r="A45" s="6" t="s">
        <v>43</v>
      </c>
      <c r="B45" s="14">
        <v>0.47110480223177192</v>
      </c>
      <c r="C45" s="14">
        <v>0.57241397775827108</v>
      </c>
      <c r="D45" s="14">
        <v>4.7494959780036199E-2</v>
      </c>
      <c r="E45" s="14">
        <v>1.4783660770870505E-2</v>
      </c>
      <c r="F45" s="8"/>
    </row>
    <row r="46" spans="1:6" x14ac:dyDescent="0.2">
      <c r="A46" s="9" t="s">
        <v>18</v>
      </c>
      <c r="B46" s="13">
        <v>0.13555303591316001</v>
      </c>
      <c r="C46" s="13">
        <v>0.166058064843706</v>
      </c>
      <c r="D46" s="13">
        <v>5.3884712990418396E-3</v>
      </c>
      <c r="E46" s="13">
        <v>1.11386376293907E-4</v>
      </c>
      <c r="F46" s="8" t="s">
        <v>101</v>
      </c>
    </row>
    <row r="47" spans="1:6" x14ac:dyDescent="0.2">
      <c r="A47" s="9" t="s">
        <v>12</v>
      </c>
      <c r="B47" s="13">
        <v>0.15332434544314699</v>
      </c>
      <c r="C47" s="13">
        <v>0.184350391855329</v>
      </c>
      <c r="D47" s="13">
        <v>2.7546603321589799E-2</v>
      </c>
      <c r="E47" s="13">
        <v>1.06085921146127E-2</v>
      </c>
      <c r="F47" s="8" t="s">
        <v>101</v>
      </c>
    </row>
    <row r="48" spans="1:6" x14ac:dyDescent="0.2">
      <c r="A48" s="9" t="s">
        <v>45</v>
      </c>
      <c r="B48" s="13">
        <v>1.8607751143993399E-2</v>
      </c>
      <c r="C48" s="13">
        <v>2.27332728211425E-2</v>
      </c>
      <c r="D48" s="13">
        <v>1.04330387288727E-3</v>
      </c>
      <c r="E48" s="13">
        <v>2.6118184786157297E-4</v>
      </c>
      <c r="F48" s="30" t="s">
        <v>104</v>
      </c>
    </row>
    <row r="49" spans="1:6" x14ac:dyDescent="0.2">
      <c r="A49" s="9" t="s">
        <v>46</v>
      </c>
      <c r="B49" s="13">
        <v>2.2561320564779701E-2</v>
      </c>
      <c r="C49" s="13">
        <v>2.7551749897479098E-2</v>
      </c>
      <c r="D49" s="13">
        <v>1.65189779873818E-3</v>
      </c>
      <c r="E49" s="13">
        <v>1.1522728582128201E-4</v>
      </c>
      <c r="F49" s="30" t="s">
        <v>104</v>
      </c>
    </row>
    <row r="50" spans="1:6" x14ac:dyDescent="0.2">
      <c r="A50" s="9" t="s">
        <v>50</v>
      </c>
      <c r="B50" s="13">
        <v>1.0881951914149699E-2</v>
      </c>
      <c r="C50" s="13">
        <v>1.32028842317269E-2</v>
      </c>
      <c r="D50" s="13">
        <v>1.59393647246666E-3</v>
      </c>
      <c r="E50" s="13">
        <v>1.1522728582128201E-4</v>
      </c>
      <c r="F50" s="30" t="s">
        <v>104</v>
      </c>
    </row>
    <row r="51" spans="1:6" x14ac:dyDescent="0.2">
      <c r="A51" s="9" t="s">
        <v>44</v>
      </c>
      <c r="B51" s="13">
        <v>3.5702282681114299E-2</v>
      </c>
      <c r="C51" s="13">
        <v>4.3798982004175202E-2</v>
      </c>
      <c r="D51" s="13">
        <v>4.1538950494585699E-4</v>
      </c>
      <c r="E51" s="13">
        <v>3.0727276219008701E-4</v>
      </c>
      <c r="F51" s="8" t="s">
        <v>91</v>
      </c>
    </row>
    <row r="52" spans="1:6" x14ac:dyDescent="0.2">
      <c r="A52" s="9" t="s">
        <v>47</v>
      </c>
      <c r="B52" s="13">
        <v>1.1517076889113499E-2</v>
      </c>
      <c r="C52" s="13">
        <v>1.41507286888413E-2</v>
      </c>
      <c r="D52" s="13">
        <v>4.4437016808161601E-5</v>
      </c>
      <c r="E52" s="13">
        <v>0</v>
      </c>
      <c r="F52" s="8" t="s">
        <v>91</v>
      </c>
    </row>
    <row r="53" spans="1:6" x14ac:dyDescent="0.2">
      <c r="A53" s="9" t="s">
        <v>48</v>
      </c>
      <c r="B53" s="13">
        <v>3.4366703098081E-2</v>
      </c>
      <c r="C53" s="13">
        <v>4.2026459318836903E-2</v>
      </c>
      <c r="D53" s="13">
        <v>9.5636188347999703E-4</v>
      </c>
      <c r="E53" s="13">
        <v>9.0261373893337903E-4</v>
      </c>
      <c r="F53" s="8" t="s">
        <v>91</v>
      </c>
    </row>
    <row r="54" spans="1:6" x14ac:dyDescent="0.2">
      <c r="A54" s="9" t="s">
        <v>49</v>
      </c>
      <c r="B54" s="13">
        <v>1.42918972822253E-2</v>
      </c>
      <c r="C54" s="13">
        <v>1.75377999833322E-2</v>
      </c>
      <c r="D54" s="13">
        <v>7.7281768362019905E-5</v>
      </c>
      <c r="E54" s="13">
        <v>1.5363638109504299E-4</v>
      </c>
      <c r="F54" s="8" t="s">
        <v>91</v>
      </c>
    </row>
    <row r="55" spans="1:6" x14ac:dyDescent="0.2">
      <c r="A55" s="9" t="s">
        <v>51</v>
      </c>
      <c r="B55" s="13">
        <v>2.75518338274796E-2</v>
      </c>
      <c r="C55" s="13">
        <v>3.2933578594654303E-2</v>
      </c>
      <c r="D55" s="13">
        <v>7.1833403692497504E-3</v>
      </c>
      <c r="E55" s="13">
        <v>1.70920473968236E-3</v>
      </c>
      <c r="F55" s="8" t="s">
        <v>91</v>
      </c>
    </row>
    <row r="56" spans="1:6" x14ac:dyDescent="0.2">
      <c r="A56" s="9" t="s">
        <v>19</v>
      </c>
      <c r="B56" s="13">
        <v>6.7466034745284004E-3</v>
      </c>
      <c r="C56" s="13">
        <v>8.0700655190478095E-3</v>
      </c>
      <c r="D56" s="13">
        <v>1.59393647246666E-3</v>
      </c>
      <c r="E56" s="13">
        <v>4.9931823855888999E-4</v>
      </c>
      <c r="F56" s="8" t="s">
        <v>91</v>
      </c>
    </row>
    <row r="57" spans="1:6" x14ac:dyDescent="0.2">
      <c r="A57" s="6" t="s">
        <v>52</v>
      </c>
      <c r="B57" s="14">
        <v>6.3592190935656354E-3</v>
      </c>
      <c r="C57" s="14">
        <v>7.2453872908239403E-3</v>
      </c>
      <c r="D57" s="14">
        <v>5.757491742970482E-3</v>
      </c>
      <c r="E57" s="14">
        <v>3.8409095273760999E-5</v>
      </c>
      <c r="F57" s="8"/>
    </row>
    <row r="58" spans="1:6" x14ac:dyDescent="0.2">
      <c r="A58" s="9" t="s">
        <v>53</v>
      </c>
      <c r="B58" s="13">
        <v>1.42475803478394E-3</v>
      </c>
      <c r="C58" s="13">
        <v>1.7511024716182E-3</v>
      </c>
      <c r="D58" s="13">
        <v>0</v>
      </c>
      <c r="E58" s="13">
        <v>0</v>
      </c>
      <c r="F58" s="30" t="s">
        <v>52</v>
      </c>
    </row>
    <row r="59" spans="1:6" x14ac:dyDescent="0.2">
      <c r="A59" s="9" t="s">
        <v>54</v>
      </c>
      <c r="B59" s="13">
        <v>2.1239205616532899E-3</v>
      </c>
      <c r="C59" s="13">
        <v>2.3615785626410601E-3</v>
      </c>
      <c r="D59" s="13">
        <v>2.4826768086298901E-3</v>
      </c>
      <c r="E59" s="13">
        <v>3.8409095273760999E-5</v>
      </c>
      <c r="F59" s="30" t="s">
        <v>52</v>
      </c>
    </row>
    <row r="60" spans="1:6" x14ac:dyDescent="0.2">
      <c r="A60" s="9" t="s">
        <v>55</v>
      </c>
      <c r="B60" s="13">
        <v>5.3258524015176002E-5</v>
      </c>
      <c r="C60" s="13">
        <v>0</v>
      </c>
      <c r="D60" s="13">
        <v>6.66555252122422E-4</v>
      </c>
      <c r="E60" s="13">
        <v>0</v>
      </c>
      <c r="F60" s="30" t="s">
        <v>52</v>
      </c>
    </row>
    <row r="61" spans="1:6" x14ac:dyDescent="0.2">
      <c r="A61" s="9" t="s">
        <v>56</v>
      </c>
      <c r="B61" s="13">
        <v>0</v>
      </c>
      <c r="C61" s="13">
        <v>0</v>
      </c>
      <c r="D61" s="13">
        <v>0</v>
      </c>
      <c r="E61" s="13">
        <v>0</v>
      </c>
      <c r="F61" s="30" t="s">
        <v>52</v>
      </c>
    </row>
    <row r="62" spans="1:6" x14ac:dyDescent="0.2">
      <c r="A62" s="9" t="s">
        <v>57</v>
      </c>
      <c r="B62" s="13">
        <v>2.7572819731132301E-3</v>
      </c>
      <c r="C62" s="13">
        <v>3.13270625656468E-3</v>
      </c>
      <c r="D62" s="13">
        <v>2.6082596822181699E-3</v>
      </c>
      <c r="E62" s="13">
        <v>0</v>
      </c>
      <c r="F62" s="30" t="s">
        <v>52</v>
      </c>
    </row>
    <row r="63" spans="1:6" x14ac:dyDescent="0.2">
      <c r="A63" s="7" t="s">
        <v>58</v>
      </c>
      <c r="B63" s="12">
        <v>3.9304454027395727E-2</v>
      </c>
      <c r="C63" s="12">
        <v>4.8093734855055331E-2</v>
      </c>
      <c r="D63" s="12">
        <v>1.20173149802941E-3</v>
      </c>
      <c r="E63" s="12">
        <v>7.297728102014559E-4</v>
      </c>
      <c r="F63" s="8"/>
    </row>
    <row r="64" spans="1:6" x14ac:dyDescent="0.2">
      <c r="A64" s="9" t="s">
        <v>59</v>
      </c>
      <c r="B64" s="13">
        <v>6.44844615131571E-3</v>
      </c>
      <c r="C64" s="13">
        <v>7.9254790764371301E-3</v>
      </c>
      <c r="D64" s="13">
        <v>0</v>
      </c>
      <c r="E64" s="13">
        <v>0</v>
      </c>
      <c r="F64" s="8" t="s">
        <v>105</v>
      </c>
    </row>
    <row r="65" spans="1:6" x14ac:dyDescent="0.2">
      <c r="A65" s="9" t="s">
        <v>60</v>
      </c>
      <c r="B65" s="13">
        <v>8.8446547385130202E-3</v>
      </c>
      <c r="C65" s="13">
        <v>1.08051590584331E-2</v>
      </c>
      <c r="D65" s="13">
        <v>7.728176836202E-5</v>
      </c>
      <c r="E65" s="13">
        <v>4.4170459564824997E-4</v>
      </c>
      <c r="F65" s="8" t="s">
        <v>105</v>
      </c>
    </row>
    <row r="66" spans="1:6" x14ac:dyDescent="0.2">
      <c r="A66" s="9" t="s">
        <v>61</v>
      </c>
      <c r="B66" s="13">
        <v>2.4011353137566999E-2</v>
      </c>
      <c r="C66" s="13">
        <v>2.9363096720185101E-2</v>
      </c>
      <c r="D66" s="13">
        <v>1.1244497296673899E-3</v>
      </c>
      <c r="E66" s="13">
        <v>2.8806821455320598E-4</v>
      </c>
      <c r="F66" s="8" t="s">
        <v>105</v>
      </c>
    </row>
    <row r="67" spans="1:6" x14ac:dyDescent="0.2">
      <c r="A67" s="7" t="s">
        <v>62</v>
      </c>
      <c r="B67" s="12">
        <v>6.5859985104458167E-3</v>
      </c>
      <c r="C67" s="12">
        <v>7.2775176114040965E-3</v>
      </c>
      <c r="D67" s="12">
        <v>6.8355724116206697E-3</v>
      </c>
      <c r="E67" s="12">
        <v>1.1138637629390649E-3</v>
      </c>
      <c r="F67" s="8"/>
    </row>
    <row r="68" spans="1:6" x14ac:dyDescent="0.2">
      <c r="A68" s="9" t="s">
        <v>63</v>
      </c>
      <c r="B68" s="13">
        <v>0</v>
      </c>
      <c r="C68" s="13">
        <v>0</v>
      </c>
      <c r="D68" s="13">
        <v>0</v>
      </c>
      <c r="E68" s="13">
        <v>0</v>
      </c>
      <c r="F68" s="30" t="s">
        <v>92</v>
      </c>
    </row>
    <row r="69" spans="1:6" x14ac:dyDescent="0.2">
      <c r="A69" s="9" t="s">
        <v>64</v>
      </c>
      <c r="B69" s="13">
        <v>1.6356741999075701E-5</v>
      </c>
      <c r="C69" s="13">
        <v>0</v>
      </c>
      <c r="D69" s="13">
        <v>0</v>
      </c>
      <c r="E69" s="13">
        <v>1.5363638109504299E-4</v>
      </c>
      <c r="F69" s="30" t="s">
        <v>92</v>
      </c>
    </row>
    <row r="70" spans="1:6" x14ac:dyDescent="0.2">
      <c r="A70" s="9" t="s">
        <v>65</v>
      </c>
      <c r="B70" s="13">
        <v>0</v>
      </c>
      <c r="C70" s="13">
        <v>0</v>
      </c>
      <c r="D70" s="13">
        <v>0</v>
      </c>
      <c r="E70" s="13">
        <v>0</v>
      </c>
      <c r="F70" s="30" t="s">
        <v>92</v>
      </c>
    </row>
    <row r="71" spans="1:6" x14ac:dyDescent="0.2">
      <c r="A71" s="9" t="s">
        <v>66</v>
      </c>
      <c r="B71" s="13">
        <v>2.18945392535859E-4</v>
      </c>
      <c r="C71" s="13">
        <v>0</v>
      </c>
      <c r="D71" s="13">
        <v>1.7678204512812099E-3</v>
      </c>
      <c r="E71" s="13">
        <v>7.2977281020145601E-4</v>
      </c>
      <c r="F71" s="30" t="s">
        <v>92</v>
      </c>
    </row>
    <row r="72" spans="1:6" x14ac:dyDescent="0.2">
      <c r="A72" s="9" t="s">
        <v>21</v>
      </c>
      <c r="B72" s="13">
        <v>1.3729565790591999E-3</v>
      </c>
      <c r="C72" s="13">
        <v>1.4512194795367999E-3</v>
      </c>
      <c r="D72" s="13">
        <v>2.40539504026787E-3</v>
      </c>
      <c r="E72" s="13">
        <v>0</v>
      </c>
      <c r="F72" s="30" t="s">
        <v>92</v>
      </c>
    </row>
    <row r="73" spans="1:6" x14ac:dyDescent="0.2">
      <c r="A73" s="9" t="s">
        <v>67</v>
      </c>
      <c r="B73" s="13">
        <v>2.4755879106213902E-4</v>
      </c>
      <c r="C73" s="13">
        <v>2.3026729749107901E-4</v>
      </c>
      <c r="D73" s="13">
        <v>7.5349724152969501E-4</v>
      </c>
      <c r="E73" s="13">
        <v>0</v>
      </c>
      <c r="F73" s="30" t="s">
        <v>92</v>
      </c>
    </row>
    <row r="74" spans="1:6" x14ac:dyDescent="0.2">
      <c r="A74" s="9" t="s">
        <v>68</v>
      </c>
      <c r="B74" s="13">
        <v>1.3942586273114999E-4</v>
      </c>
      <c r="C74" s="13">
        <v>1.71361709760803E-4</v>
      </c>
      <c r="D74" s="13">
        <v>0</v>
      </c>
      <c r="E74" s="13">
        <v>0</v>
      </c>
      <c r="F74" s="30" t="s">
        <v>92</v>
      </c>
    </row>
    <row r="75" spans="1:6" x14ac:dyDescent="0.2">
      <c r="A75" s="9" t="s">
        <v>69</v>
      </c>
      <c r="B75" s="13">
        <v>7.0728324497850695E-4</v>
      </c>
      <c r="C75" s="13">
        <v>7.9254790764371301E-4</v>
      </c>
      <c r="D75" s="13">
        <v>6.2791436794141196E-4</v>
      </c>
      <c r="E75" s="13">
        <v>1.15227285821283E-4</v>
      </c>
      <c r="F75" s="30" t="s">
        <v>92</v>
      </c>
    </row>
    <row r="76" spans="1:6" x14ac:dyDescent="0.2">
      <c r="A76" s="9" t="s">
        <v>70</v>
      </c>
      <c r="B76" s="13">
        <v>5.3330678982039198E-5</v>
      </c>
      <c r="C76" s="13">
        <v>5.8905587730276E-5</v>
      </c>
      <c r="D76" s="13">
        <v>6.7621547316767505E-5</v>
      </c>
      <c r="E76" s="13">
        <v>0</v>
      </c>
      <c r="F76" s="30" t="s">
        <v>92</v>
      </c>
    </row>
    <row r="77" spans="1:6" x14ac:dyDescent="0.2">
      <c r="A77" s="9" t="s">
        <v>71</v>
      </c>
      <c r="B77" s="13">
        <v>3.92135238931361E-5</v>
      </c>
      <c r="C77" s="13">
        <v>4.8195480870225802E-5</v>
      </c>
      <c r="D77" s="13">
        <v>0</v>
      </c>
      <c r="E77" s="13">
        <v>0</v>
      </c>
      <c r="F77" s="30" t="s">
        <v>92</v>
      </c>
    </row>
    <row r="78" spans="1:6" x14ac:dyDescent="0.2">
      <c r="A78" s="9" t="s">
        <v>72</v>
      </c>
      <c r="B78" s="13">
        <v>0</v>
      </c>
      <c r="C78" s="13">
        <v>0</v>
      </c>
      <c r="D78" s="13">
        <v>0</v>
      </c>
      <c r="E78" s="13">
        <v>0</v>
      </c>
      <c r="F78" s="30" t="s">
        <v>92</v>
      </c>
    </row>
    <row r="79" spans="1:6" x14ac:dyDescent="0.2">
      <c r="A79" s="9" t="s">
        <v>73</v>
      </c>
      <c r="B79" s="13">
        <v>2.7187884312228302E-3</v>
      </c>
      <c r="C79" s="13">
        <v>3.3040679663254801E-3</v>
      </c>
      <c r="D79" s="13">
        <v>2.27981216667959E-4</v>
      </c>
      <c r="E79" s="13">
        <v>1.15227285821283E-4</v>
      </c>
      <c r="F79" s="30" t="s">
        <v>92</v>
      </c>
    </row>
    <row r="80" spans="1:6" x14ac:dyDescent="0.2">
      <c r="A80" s="9" t="s">
        <v>74</v>
      </c>
      <c r="B80" s="13">
        <v>1.0721392639818799E-3</v>
      </c>
      <c r="C80" s="13">
        <v>1.2209521820457201E-3</v>
      </c>
      <c r="D80" s="13">
        <v>9.8534254661575499E-4</v>
      </c>
      <c r="E80" s="13">
        <v>0</v>
      </c>
      <c r="F80" s="30" t="s">
        <v>92</v>
      </c>
    </row>
    <row r="81" spans="1:6" x14ac:dyDescent="0.2">
      <c r="A81" s="7" t="s">
        <v>20</v>
      </c>
      <c r="B81" s="12">
        <v>6.4519124932590002E-3</v>
      </c>
      <c r="C81" s="12">
        <v>6.3992888488799797E-3</v>
      </c>
      <c r="D81" s="12">
        <v>1.26930474424095E-2</v>
      </c>
      <c r="E81" s="12">
        <v>2.1701138829674899E-3</v>
      </c>
      <c r="F81" s="8"/>
    </row>
    <row r="82" spans="1:6" x14ac:dyDescent="0.2">
      <c r="A82" s="9" t="s">
        <v>20</v>
      </c>
      <c r="B82" s="15">
        <v>6.4519124932590002E-3</v>
      </c>
      <c r="C82" s="15">
        <v>6.3992888488799797E-3</v>
      </c>
      <c r="D82" s="15">
        <v>1.26930474424095E-2</v>
      </c>
      <c r="E82" s="26">
        <v>2.1701138829674899E-3</v>
      </c>
      <c r="F82" s="8" t="s">
        <v>91</v>
      </c>
    </row>
    <row r="83" spans="1:6" x14ac:dyDescent="0.2">
      <c r="A83" s="6" t="s">
        <v>5</v>
      </c>
      <c r="B83" s="16">
        <v>0.99999999999999933</v>
      </c>
      <c r="C83" s="16">
        <v>1.0000000000000004</v>
      </c>
      <c r="D83" s="16">
        <v>0.99999999999999933</v>
      </c>
      <c r="E83" s="27">
        <v>1.0000000000000002</v>
      </c>
      <c r="F83" s="8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V19"/>
  <sheetViews>
    <sheetView workbookViewId="0">
      <selection activeCell="CO19" sqref="CO19"/>
    </sheetView>
  </sheetViews>
  <sheetFormatPr defaultRowHeight="12.75" x14ac:dyDescent="0.2"/>
  <sheetData>
    <row r="1" spans="1:256" x14ac:dyDescent="0.2">
      <c r="A1" t="e">
        <f>IF(#REF!,"AAAAAC/99gA=",0)</f>
        <v>#REF!</v>
      </c>
      <c r="B1" t="e">
        <f>AND(#REF!,"AAAAAC/99gE=")</f>
        <v>#REF!</v>
      </c>
      <c r="C1" t="e">
        <f>AND(#REF!,"AAAAAC/99gI=")</f>
        <v>#REF!</v>
      </c>
      <c r="D1" t="e">
        <f>AND(#REF!,"AAAAAC/99gM=")</f>
        <v>#REF!</v>
      </c>
      <c r="E1" t="e">
        <f>AND(#REF!,"AAAAAC/99gQ=")</f>
        <v>#REF!</v>
      </c>
      <c r="F1" t="e">
        <f>AND(#REF!,"AAAAAC/99gU=")</f>
        <v>#REF!</v>
      </c>
      <c r="G1" t="e">
        <f>AND(#REF!,"AAAAAC/99gY=")</f>
        <v>#REF!</v>
      </c>
      <c r="H1" t="e">
        <f>AND(#REF!,"AAAAAC/99gc=")</f>
        <v>#REF!</v>
      </c>
      <c r="I1" t="e">
        <f>AND(#REF!,"AAAAAC/99gg=")</f>
        <v>#REF!</v>
      </c>
      <c r="J1" t="e">
        <f>AND(#REF!,"AAAAAC/99gk=")</f>
        <v>#REF!</v>
      </c>
      <c r="K1" t="e">
        <f>AND(#REF!,"AAAAAC/99go=")</f>
        <v>#REF!</v>
      </c>
      <c r="L1" t="e">
        <f>AND(#REF!,"AAAAAC/99gs=")</f>
        <v>#REF!</v>
      </c>
      <c r="M1" t="e">
        <f>AND(#REF!,"AAAAAC/99gw=")</f>
        <v>#REF!</v>
      </c>
      <c r="N1" t="e">
        <f>AND(#REF!,"AAAAAC/99g0=")</f>
        <v>#REF!</v>
      </c>
      <c r="O1" t="e">
        <f>AND(#REF!,"AAAAAC/99g4=")</f>
        <v>#REF!</v>
      </c>
      <c r="P1" t="e">
        <f>AND(#REF!,"AAAAAC/99g8=")</f>
        <v>#REF!</v>
      </c>
      <c r="Q1" t="e">
        <f>AND(#REF!,"AAAAAC/99hA=")</f>
        <v>#REF!</v>
      </c>
      <c r="R1" t="e">
        <f>IF(#REF!,"AAAAAC/99hE=",0)</f>
        <v>#REF!</v>
      </c>
      <c r="S1" t="e">
        <f>AND(#REF!,"AAAAAC/99hI=")</f>
        <v>#REF!</v>
      </c>
      <c r="T1" t="e">
        <f>AND(#REF!,"AAAAAC/99hM=")</f>
        <v>#REF!</v>
      </c>
      <c r="U1" t="e">
        <f>AND(#REF!,"AAAAAC/99hQ=")</f>
        <v>#REF!</v>
      </c>
      <c r="V1" t="e">
        <f>AND(#REF!,"AAAAAC/99hU=")</f>
        <v>#REF!</v>
      </c>
      <c r="W1" t="e">
        <f>AND(#REF!,"AAAAAC/99hY=")</f>
        <v>#REF!</v>
      </c>
      <c r="X1" t="e">
        <f>AND(#REF!,"AAAAAC/99hc=")</f>
        <v>#REF!</v>
      </c>
      <c r="Y1" t="e">
        <f>AND(#REF!,"AAAAAC/99hg=")</f>
        <v>#REF!</v>
      </c>
      <c r="Z1" t="e">
        <f>AND(#REF!,"AAAAAC/99hk=")</f>
        <v>#REF!</v>
      </c>
      <c r="AA1" t="e">
        <f>AND(#REF!,"AAAAAC/99ho=")</f>
        <v>#REF!</v>
      </c>
      <c r="AB1" t="e">
        <f>AND(#REF!,"AAAAAC/99hs=")</f>
        <v>#REF!</v>
      </c>
      <c r="AC1" t="e">
        <f>AND(#REF!,"AAAAAC/99hw=")</f>
        <v>#REF!</v>
      </c>
      <c r="AD1" t="e">
        <f>AND(#REF!,"AAAAAC/99h0=")</f>
        <v>#REF!</v>
      </c>
      <c r="AE1" t="e">
        <f>AND(#REF!,"AAAAAC/99h4=")</f>
        <v>#REF!</v>
      </c>
      <c r="AF1" t="e">
        <f>AND(#REF!,"AAAAAC/99h8=")</f>
        <v>#REF!</v>
      </c>
      <c r="AG1" t="e">
        <f>AND(#REF!,"AAAAAC/99iA=")</f>
        <v>#REF!</v>
      </c>
      <c r="AH1" t="e">
        <f>AND(#REF!,"AAAAAC/99iE=")</f>
        <v>#REF!</v>
      </c>
      <c r="AI1" t="e">
        <f>IF(#REF!,"AAAAAC/99iI=",0)</f>
        <v>#REF!</v>
      </c>
      <c r="AJ1" t="e">
        <f>AND(#REF!,"AAAAAC/99iM=")</f>
        <v>#REF!</v>
      </c>
      <c r="AK1" t="e">
        <f>AND(#REF!,"AAAAAC/99iQ=")</f>
        <v>#REF!</v>
      </c>
      <c r="AL1" t="e">
        <f>AND(#REF!,"AAAAAC/99iU=")</f>
        <v>#REF!</v>
      </c>
      <c r="AM1" t="e">
        <f>AND(#REF!,"AAAAAC/99iY=")</f>
        <v>#REF!</v>
      </c>
      <c r="AN1" t="e">
        <f>AND(#REF!,"AAAAAC/99ic=")</f>
        <v>#REF!</v>
      </c>
      <c r="AO1" t="e">
        <f>AND(#REF!,"AAAAAC/99ig=")</f>
        <v>#REF!</v>
      </c>
      <c r="AP1" t="e">
        <f>AND(#REF!,"AAAAAC/99ik=")</f>
        <v>#REF!</v>
      </c>
      <c r="AQ1" t="e">
        <f>AND(#REF!,"AAAAAC/99io=")</f>
        <v>#REF!</v>
      </c>
      <c r="AR1" t="e">
        <f>AND(#REF!,"AAAAAC/99is=")</f>
        <v>#REF!</v>
      </c>
      <c r="AS1" t="e">
        <f>AND(#REF!,"AAAAAC/99iw=")</f>
        <v>#REF!</v>
      </c>
      <c r="AT1" t="e">
        <f>AND(#REF!,"AAAAAC/99i0=")</f>
        <v>#REF!</v>
      </c>
      <c r="AU1" t="e">
        <f>AND(#REF!,"AAAAAC/99i4=")</f>
        <v>#REF!</v>
      </c>
      <c r="AV1" t="e">
        <f>AND(#REF!,"AAAAAC/99i8=")</f>
        <v>#REF!</v>
      </c>
      <c r="AW1" t="e">
        <f>AND(#REF!,"AAAAAC/99jA=")</f>
        <v>#REF!</v>
      </c>
      <c r="AX1" t="e">
        <f>AND(#REF!,"AAAAAC/99jE=")</f>
        <v>#REF!</v>
      </c>
      <c r="AY1" t="e">
        <f>AND(#REF!,"AAAAAC/99jI=")</f>
        <v>#REF!</v>
      </c>
      <c r="AZ1" t="e">
        <f>IF(#REF!,"AAAAAC/99jM=",0)</f>
        <v>#REF!</v>
      </c>
      <c r="BA1" t="e">
        <f>AND(#REF!,"AAAAAC/99jQ=")</f>
        <v>#REF!</v>
      </c>
      <c r="BB1" t="e">
        <f>AND(#REF!,"AAAAAC/99jU=")</f>
        <v>#REF!</v>
      </c>
      <c r="BC1" t="e">
        <f>AND(#REF!,"AAAAAC/99jY=")</f>
        <v>#REF!</v>
      </c>
      <c r="BD1" t="e">
        <f>AND(#REF!,"AAAAAC/99jc=")</f>
        <v>#REF!</v>
      </c>
      <c r="BE1" t="e">
        <f>AND(#REF!,"AAAAAC/99jg=")</f>
        <v>#REF!</v>
      </c>
      <c r="BF1" t="e">
        <f>AND(#REF!,"AAAAAC/99jk=")</f>
        <v>#REF!</v>
      </c>
      <c r="BG1" t="e">
        <f>AND(#REF!,"AAAAAC/99jo=")</f>
        <v>#REF!</v>
      </c>
      <c r="BH1" t="e">
        <f>AND(#REF!,"AAAAAC/99js=")</f>
        <v>#REF!</v>
      </c>
      <c r="BI1" t="e">
        <f>AND(#REF!,"AAAAAC/99jw=")</f>
        <v>#REF!</v>
      </c>
      <c r="BJ1" t="e">
        <f>AND(#REF!,"AAAAAC/99j0=")</f>
        <v>#REF!</v>
      </c>
      <c r="BK1" t="e">
        <f>AND(#REF!,"AAAAAC/99j4=")</f>
        <v>#REF!</v>
      </c>
      <c r="BL1" t="e">
        <f>AND(#REF!,"AAAAAC/99j8=")</f>
        <v>#REF!</v>
      </c>
      <c r="BM1" t="e">
        <f>AND(#REF!,"AAAAAC/99kA=")</f>
        <v>#REF!</v>
      </c>
      <c r="BN1" t="e">
        <f>AND(#REF!,"AAAAAC/99kE=")</f>
        <v>#REF!</v>
      </c>
      <c r="BO1" t="e">
        <f>AND(#REF!,"AAAAAC/99kI=")</f>
        <v>#REF!</v>
      </c>
      <c r="BP1" t="e">
        <f>AND(#REF!,"AAAAAC/99kM=")</f>
        <v>#REF!</v>
      </c>
      <c r="BQ1" t="e">
        <f>IF(#REF!,"AAAAAC/99kQ=",0)</f>
        <v>#REF!</v>
      </c>
      <c r="BR1" t="e">
        <f>AND(#REF!,"AAAAAC/99kU=")</f>
        <v>#REF!</v>
      </c>
      <c r="BS1" t="e">
        <f>AND(#REF!,"AAAAAC/99kY=")</f>
        <v>#REF!</v>
      </c>
      <c r="BT1" t="e">
        <f>AND(#REF!,"AAAAAC/99kc=")</f>
        <v>#REF!</v>
      </c>
      <c r="BU1" t="e">
        <f>AND(#REF!,"AAAAAC/99kg=")</f>
        <v>#REF!</v>
      </c>
      <c r="BV1" t="e">
        <f>AND(#REF!,"AAAAAC/99kk=")</f>
        <v>#REF!</v>
      </c>
      <c r="BW1" t="e">
        <f>AND(#REF!,"AAAAAC/99ko=")</f>
        <v>#REF!</v>
      </c>
      <c r="BX1" t="e">
        <f>AND(#REF!,"AAAAAC/99ks=")</f>
        <v>#REF!</v>
      </c>
      <c r="BY1" t="e">
        <f>AND(#REF!,"AAAAAC/99kw=")</f>
        <v>#REF!</v>
      </c>
      <c r="BZ1" t="e">
        <f>AND(#REF!,"AAAAAC/99k0=")</f>
        <v>#REF!</v>
      </c>
      <c r="CA1" t="e">
        <f>AND(#REF!,"AAAAAC/99k4=")</f>
        <v>#REF!</v>
      </c>
      <c r="CB1" t="e">
        <f>AND(#REF!,"AAAAAC/99k8=")</f>
        <v>#REF!</v>
      </c>
      <c r="CC1" t="e">
        <f>AND(#REF!,"AAAAAC/99lA=")</f>
        <v>#REF!</v>
      </c>
      <c r="CD1" t="e">
        <f>AND(#REF!,"AAAAAC/99lE=")</f>
        <v>#REF!</v>
      </c>
      <c r="CE1" t="e">
        <f>AND(#REF!,"AAAAAC/99lI=")</f>
        <v>#REF!</v>
      </c>
      <c r="CF1" t="e">
        <f>AND(#REF!,"AAAAAC/99lM=")</f>
        <v>#REF!</v>
      </c>
      <c r="CG1" t="e">
        <f>AND(#REF!,"AAAAAC/99lQ=")</f>
        <v>#REF!</v>
      </c>
      <c r="CH1" t="e">
        <f>IF(#REF!,"AAAAAC/99lU=",0)</f>
        <v>#REF!</v>
      </c>
      <c r="CI1" t="e">
        <f>AND(#REF!,"AAAAAC/99lY=")</f>
        <v>#REF!</v>
      </c>
      <c r="CJ1" t="e">
        <f>AND(#REF!,"AAAAAC/99lc=")</f>
        <v>#REF!</v>
      </c>
      <c r="CK1" t="e">
        <f>AND(#REF!,"AAAAAC/99lg=")</f>
        <v>#REF!</v>
      </c>
      <c r="CL1" t="e">
        <f>AND(#REF!,"AAAAAC/99lk=")</f>
        <v>#REF!</v>
      </c>
      <c r="CM1" t="e">
        <f>AND(#REF!,"AAAAAC/99lo=")</f>
        <v>#REF!</v>
      </c>
      <c r="CN1" t="e">
        <f>AND(#REF!,"AAAAAC/99ls=")</f>
        <v>#REF!</v>
      </c>
      <c r="CO1" t="e">
        <f>AND(#REF!,"AAAAAC/99lw=")</f>
        <v>#REF!</v>
      </c>
      <c r="CP1" t="e">
        <f>AND(#REF!,"AAAAAC/99l0=")</f>
        <v>#REF!</v>
      </c>
      <c r="CQ1" t="e">
        <f>AND(#REF!,"AAAAAC/99l4=")</f>
        <v>#REF!</v>
      </c>
      <c r="CR1" t="e">
        <f>AND(#REF!,"AAAAAC/99l8=")</f>
        <v>#REF!</v>
      </c>
      <c r="CS1" t="e">
        <f>AND(#REF!,"AAAAAC/99mA=")</f>
        <v>#REF!</v>
      </c>
      <c r="CT1" t="e">
        <f>AND(#REF!,"AAAAAC/99mE=")</f>
        <v>#REF!</v>
      </c>
      <c r="CU1" t="e">
        <f>AND(#REF!,"AAAAAC/99mI=")</f>
        <v>#REF!</v>
      </c>
      <c r="CV1" t="e">
        <f>AND(#REF!,"AAAAAC/99mM=")</f>
        <v>#REF!</v>
      </c>
      <c r="CW1" t="e">
        <f>AND(#REF!,"AAAAAC/99mQ=")</f>
        <v>#REF!</v>
      </c>
      <c r="CX1" t="e">
        <f>AND(#REF!,"AAAAAC/99mU=")</f>
        <v>#REF!</v>
      </c>
      <c r="CY1" t="e">
        <f>IF(#REF!,"AAAAAC/99mY=",0)</f>
        <v>#REF!</v>
      </c>
      <c r="CZ1" t="e">
        <f>AND(#REF!,"AAAAAC/99mc=")</f>
        <v>#REF!</v>
      </c>
      <c r="DA1" t="e">
        <f>AND(#REF!,"AAAAAC/99mg=")</f>
        <v>#REF!</v>
      </c>
      <c r="DB1" t="e">
        <f>AND(#REF!,"AAAAAC/99mk=")</f>
        <v>#REF!</v>
      </c>
      <c r="DC1" t="e">
        <f>AND(#REF!,"AAAAAC/99mo=")</f>
        <v>#REF!</v>
      </c>
      <c r="DD1" t="e">
        <f>AND(#REF!,"AAAAAC/99ms=")</f>
        <v>#REF!</v>
      </c>
      <c r="DE1" t="e">
        <f>AND(#REF!,"AAAAAC/99mw=")</f>
        <v>#REF!</v>
      </c>
      <c r="DF1" t="e">
        <f>AND(#REF!,"AAAAAC/99m0=")</f>
        <v>#REF!</v>
      </c>
      <c r="DG1" t="e">
        <f>AND(#REF!,"AAAAAC/99m4=")</f>
        <v>#REF!</v>
      </c>
      <c r="DH1" t="e">
        <f>AND(#REF!,"AAAAAC/99m8=")</f>
        <v>#REF!</v>
      </c>
      <c r="DI1" t="e">
        <f>AND(#REF!,"AAAAAC/99nA=")</f>
        <v>#REF!</v>
      </c>
      <c r="DJ1" t="e">
        <f>AND(#REF!,"AAAAAC/99nE=")</f>
        <v>#REF!</v>
      </c>
      <c r="DK1" t="e">
        <f>AND(#REF!,"AAAAAC/99nI=")</f>
        <v>#REF!</v>
      </c>
      <c r="DL1" t="e">
        <f>AND(#REF!,"AAAAAC/99nM=")</f>
        <v>#REF!</v>
      </c>
      <c r="DM1" t="e">
        <f>AND(#REF!,"AAAAAC/99nQ=")</f>
        <v>#REF!</v>
      </c>
      <c r="DN1" t="e">
        <f>AND(#REF!,"AAAAAC/99nU=")</f>
        <v>#REF!</v>
      </c>
      <c r="DO1" t="e">
        <f>AND(#REF!,"AAAAAC/99nY=")</f>
        <v>#REF!</v>
      </c>
      <c r="DP1" t="e">
        <f>IF(#REF!,"AAAAAC/99nc=",0)</f>
        <v>#REF!</v>
      </c>
      <c r="DQ1" t="e">
        <f>AND(#REF!,"AAAAAC/99ng=")</f>
        <v>#REF!</v>
      </c>
      <c r="DR1" t="e">
        <f>AND(#REF!,"AAAAAC/99nk=")</f>
        <v>#REF!</v>
      </c>
      <c r="DS1" t="e">
        <f>AND(#REF!,"AAAAAC/99no=")</f>
        <v>#REF!</v>
      </c>
      <c r="DT1" t="e">
        <f>AND(#REF!,"AAAAAC/99ns=")</f>
        <v>#REF!</v>
      </c>
      <c r="DU1" t="e">
        <f>AND(#REF!,"AAAAAC/99nw=")</f>
        <v>#REF!</v>
      </c>
      <c r="DV1" t="e">
        <f>AND(#REF!,"AAAAAC/99n0=")</f>
        <v>#REF!</v>
      </c>
      <c r="DW1" t="e">
        <f>AND(#REF!,"AAAAAC/99n4=")</f>
        <v>#REF!</v>
      </c>
      <c r="DX1" t="e">
        <f>AND(#REF!,"AAAAAC/99n8=")</f>
        <v>#REF!</v>
      </c>
      <c r="DY1" t="e">
        <f>AND(#REF!,"AAAAAC/99oA=")</f>
        <v>#REF!</v>
      </c>
      <c r="DZ1" t="e">
        <f>AND(#REF!,"AAAAAC/99oE=")</f>
        <v>#REF!</v>
      </c>
      <c r="EA1" t="e">
        <f>AND(#REF!,"AAAAAC/99oI=")</f>
        <v>#REF!</v>
      </c>
      <c r="EB1" t="e">
        <f>AND(#REF!,"AAAAAC/99oM=")</f>
        <v>#REF!</v>
      </c>
      <c r="EC1" t="e">
        <f>AND(#REF!,"AAAAAC/99oQ=")</f>
        <v>#REF!</v>
      </c>
      <c r="ED1" t="e">
        <f>AND(#REF!,"AAAAAC/99oU=")</f>
        <v>#REF!</v>
      </c>
      <c r="EE1" t="e">
        <f>AND(#REF!,"AAAAAC/99oY=")</f>
        <v>#REF!</v>
      </c>
      <c r="EF1" t="e">
        <f>AND(#REF!,"AAAAAC/99oc=")</f>
        <v>#REF!</v>
      </c>
      <c r="EG1" t="e">
        <f>IF(#REF!,"AAAAAC/99og=",0)</f>
        <v>#REF!</v>
      </c>
      <c r="EH1" t="e">
        <f>AND(#REF!,"AAAAAC/99ok=")</f>
        <v>#REF!</v>
      </c>
      <c r="EI1" t="e">
        <f>AND(#REF!,"AAAAAC/99oo=")</f>
        <v>#REF!</v>
      </c>
      <c r="EJ1" t="e">
        <f>AND(#REF!,"AAAAAC/99os=")</f>
        <v>#REF!</v>
      </c>
      <c r="EK1" t="e">
        <f>AND(#REF!,"AAAAAC/99ow=")</f>
        <v>#REF!</v>
      </c>
      <c r="EL1" t="e">
        <f>AND(#REF!,"AAAAAC/99o0=")</f>
        <v>#REF!</v>
      </c>
      <c r="EM1" t="e">
        <f>AND(#REF!,"AAAAAC/99o4=")</f>
        <v>#REF!</v>
      </c>
      <c r="EN1" t="e">
        <f>AND(#REF!,"AAAAAC/99o8=")</f>
        <v>#REF!</v>
      </c>
      <c r="EO1" t="e">
        <f>AND(#REF!,"AAAAAC/99pA=")</f>
        <v>#REF!</v>
      </c>
      <c r="EP1" t="e">
        <f>AND(#REF!,"AAAAAC/99pE=")</f>
        <v>#REF!</v>
      </c>
      <c r="EQ1" t="e">
        <f>AND(#REF!,"AAAAAC/99pI=")</f>
        <v>#REF!</v>
      </c>
      <c r="ER1" t="e">
        <f>AND(#REF!,"AAAAAC/99pM=")</f>
        <v>#REF!</v>
      </c>
      <c r="ES1" t="e">
        <f>AND(#REF!,"AAAAAC/99pQ=")</f>
        <v>#REF!</v>
      </c>
      <c r="ET1" t="e">
        <f>AND(#REF!,"AAAAAC/99pU=")</f>
        <v>#REF!</v>
      </c>
      <c r="EU1" t="e">
        <f>AND(#REF!,"AAAAAC/99pY=")</f>
        <v>#REF!</v>
      </c>
      <c r="EV1" t="e">
        <f>AND(#REF!,"AAAAAC/99pc=")</f>
        <v>#REF!</v>
      </c>
      <c r="EW1" t="e">
        <f>AND(#REF!,"AAAAAC/99pg=")</f>
        <v>#REF!</v>
      </c>
      <c r="EX1" t="e">
        <f>IF(#REF!,"AAAAAC/99pk=",0)</f>
        <v>#REF!</v>
      </c>
      <c r="EY1" t="e">
        <f>AND(#REF!,"AAAAAC/99po=")</f>
        <v>#REF!</v>
      </c>
      <c r="EZ1" t="e">
        <f>AND(#REF!,"AAAAAC/99ps=")</f>
        <v>#REF!</v>
      </c>
      <c r="FA1" t="e">
        <f>AND(#REF!,"AAAAAC/99pw=")</f>
        <v>#REF!</v>
      </c>
      <c r="FB1" t="e">
        <f>AND(#REF!,"AAAAAC/99p0=")</f>
        <v>#REF!</v>
      </c>
      <c r="FC1" t="e">
        <f>AND(#REF!,"AAAAAC/99p4=")</f>
        <v>#REF!</v>
      </c>
      <c r="FD1" t="e">
        <f>AND(#REF!,"AAAAAC/99p8=")</f>
        <v>#REF!</v>
      </c>
      <c r="FE1" t="e">
        <f>AND(#REF!,"AAAAAC/99qA=")</f>
        <v>#REF!</v>
      </c>
      <c r="FF1" t="e">
        <f>AND(#REF!,"AAAAAC/99qE=")</f>
        <v>#REF!</v>
      </c>
      <c r="FG1" t="e">
        <f>AND(#REF!,"AAAAAC/99qI=")</f>
        <v>#REF!</v>
      </c>
      <c r="FH1" t="e">
        <f>AND(#REF!,"AAAAAC/99qM=")</f>
        <v>#REF!</v>
      </c>
      <c r="FI1" t="e">
        <f>AND(#REF!,"AAAAAC/99qQ=")</f>
        <v>#REF!</v>
      </c>
      <c r="FJ1" t="e">
        <f>AND(#REF!,"AAAAAC/99qU=")</f>
        <v>#REF!</v>
      </c>
      <c r="FK1" t="e">
        <f>AND(#REF!,"AAAAAC/99qY=")</f>
        <v>#REF!</v>
      </c>
      <c r="FL1" t="e">
        <f>AND(#REF!,"AAAAAC/99qc=")</f>
        <v>#REF!</v>
      </c>
      <c r="FM1" t="e">
        <f>AND(#REF!,"AAAAAC/99qg=")</f>
        <v>#REF!</v>
      </c>
      <c r="FN1" t="e">
        <f>AND(#REF!,"AAAAAC/99qk=")</f>
        <v>#REF!</v>
      </c>
      <c r="FO1" t="e">
        <f>IF(#REF!,"AAAAAC/99qo=",0)</f>
        <v>#REF!</v>
      </c>
      <c r="FP1" t="e">
        <f>AND(#REF!,"AAAAAC/99qs=")</f>
        <v>#REF!</v>
      </c>
      <c r="FQ1" t="e">
        <f>AND(#REF!,"AAAAAC/99qw=")</f>
        <v>#REF!</v>
      </c>
      <c r="FR1" t="e">
        <f>AND(#REF!,"AAAAAC/99q0=")</f>
        <v>#REF!</v>
      </c>
      <c r="FS1" t="e">
        <f>AND(#REF!,"AAAAAC/99q4=")</f>
        <v>#REF!</v>
      </c>
      <c r="FT1" t="e">
        <f>AND(#REF!,"AAAAAC/99q8=")</f>
        <v>#REF!</v>
      </c>
      <c r="FU1" t="e">
        <f>AND(#REF!,"AAAAAC/99rA=")</f>
        <v>#REF!</v>
      </c>
      <c r="FV1" t="e">
        <f>AND(#REF!,"AAAAAC/99rE=")</f>
        <v>#REF!</v>
      </c>
      <c r="FW1" t="e">
        <f>AND(#REF!,"AAAAAC/99rI=")</f>
        <v>#REF!</v>
      </c>
      <c r="FX1" t="e">
        <f>AND(#REF!,"AAAAAC/99rM=")</f>
        <v>#REF!</v>
      </c>
      <c r="FY1" t="e">
        <f>AND(#REF!,"AAAAAC/99rQ=")</f>
        <v>#REF!</v>
      </c>
      <c r="FZ1" t="e">
        <f>AND(#REF!,"AAAAAC/99rU=")</f>
        <v>#REF!</v>
      </c>
      <c r="GA1" t="e">
        <f>AND(#REF!,"AAAAAC/99rY=")</f>
        <v>#REF!</v>
      </c>
      <c r="GB1" t="e">
        <f>AND(#REF!,"AAAAAC/99rc=")</f>
        <v>#REF!</v>
      </c>
      <c r="GC1" t="e">
        <f>AND(#REF!,"AAAAAC/99rg=")</f>
        <v>#REF!</v>
      </c>
      <c r="GD1" t="e">
        <f>AND(#REF!,"AAAAAC/99rk=")</f>
        <v>#REF!</v>
      </c>
      <c r="GE1" t="e">
        <f>AND(#REF!,"AAAAAC/99ro=")</f>
        <v>#REF!</v>
      </c>
      <c r="GF1" t="e">
        <f>IF(#REF!,"AAAAAC/99rs=",0)</f>
        <v>#REF!</v>
      </c>
      <c r="GG1" t="e">
        <f>AND(#REF!,"AAAAAC/99rw=")</f>
        <v>#REF!</v>
      </c>
      <c r="GH1" t="e">
        <f>AND(#REF!,"AAAAAC/99r0=")</f>
        <v>#REF!</v>
      </c>
      <c r="GI1" t="e">
        <f>AND(#REF!,"AAAAAC/99r4=")</f>
        <v>#REF!</v>
      </c>
      <c r="GJ1" t="e">
        <f>AND(#REF!,"AAAAAC/99r8=")</f>
        <v>#REF!</v>
      </c>
      <c r="GK1" t="e">
        <f>AND(#REF!,"AAAAAC/99sA=")</f>
        <v>#REF!</v>
      </c>
      <c r="GL1" t="e">
        <f>AND(#REF!,"AAAAAC/99sE=")</f>
        <v>#REF!</v>
      </c>
      <c r="GM1" t="e">
        <f>AND(#REF!,"AAAAAC/99sI=")</f>
        <v>#REF!</v>
      </c>
      <c r="GN1" t="e">
        <f>AND(#REF!,"AAAAAC/99sM=")</f>
        <v>#REF!</v>
      </c>
      <c r="GO1" t="e">
        <f>AND(#REF!,"AAAAAC/99sQ=")</f>
        <v>#REF!</v>
      </c>
      <c r="GP1" t="e">
        <f>AND(#REF!,"AAAAAC/99sU=")</f>
        <v>#REF!</v>
      </c>
      <c r="GQ1" t="e">
        <f>AND(#REF!,"AAAAAC/99sY=")</f>
        <v>#REF!</v>
      </c>
      <c r="GR1" t="e">
        <f>AND(#REF!,"AAAAAC/99sc=")</f>
        <v>#REF!</v>
      </c>
      <c r="GS1" t="e">
        <f>AND(#REF!,"AAAAAC/99sg=")</f>
        <v>#REF!</v>
      </c>
      <c r="GT1" t="e">
        <f>IF(#REF!,"AAAAAC/99sk=",0)</f>
        <v>#REF!</v>
      </c>
      <c r="GU1" t="e">
        <f>AND(#REF!,"AAAAAC/99so=")</f>
        <v>#REF!</v>
      </c>
      <c r="GV1" t="e">
        <f>AND(#REF!,"AAAAAC/99ss=")</f>
        <v>#REF!</v>
      </c>
      <c r="GW1" t="e">
        <f>AND(#REF!,"AAAAAC/99sw=")</f>
        <v>#REF!</v>
      </c>
      <c r="GX1" t="e">
        <f>AND(#REF!,"AAAAAC/99s0=")</f>
        <v>#REF!</v>
      </c>
      <c r="GY1" t="e">
        <f>AND(#REF!,"AAAAAC/99s4=")</f>
        <v>#REF!</v>
      </c>
      <c r="GZ1" t="e">
        <f>AND(#REF!,"AAAAAC/99s8=")</f>
        <v>#REF!</v>
      </c>
      <c r="HA1" t="e">
        <f>AND(#REF!,"AAAAAC/99tA=")</f>
        <v>#REF!</v>
      </c>
      <c r="HB1" t="e">
        <f>AND(#REF!,"AAAAAC/99tE=")</f>
        <v>#REF!</v>
      </c>
      <c r="HC1" t="e">
        <f>AND(#REF!,"AAAAAC/99tI=")</f>
        <v>#REF!</v>
      </c>
      <c r="HD1" t="e">
        <f>AND(#REF!,"AAAAAC/99tM=")</f>
        <v>#REF!</v>
      </c>
      <c r="HE1" t="e">
        <f>AND(#REF!,"AAAAAC/99tQ=")</f>
        <v>#REF!</v>
      </c>
      <c r="HF1" t="e">
        <f>AND(#REF!,"AAAAAC/99tU=")</f>
        <v>#REF!</v>
      </c>
      <c r="HG1" t="e">
        <f>AND(#REF!,"AAAAAC/99tY=")</f>
        <v>#REF!</v>
      </c>
      <c r="HH1" t="e">
        <f>IF(#REF!,"AAAAAC/99tc=",0)</f>
        <v>#REF!</v>
      </c>
      <c r="HI1" t="e">
        <f>AND(#REF!,"AAAAAC/99tg=")</f>
        <v>#REF!</v>
      </c>
      <c r="HJ1" t="e">
        <f>AND(#REF!,"AAAAAC/99tk=")</f>
        <v>#REF!</v>
      </c>
      <c r="HK1" t="e">
        <f>AND(#REF!,"AAAAAC/99to=")</f>
        <v>#REF!</v>
      </c>
      <c r="HL1" t="e">
        <f>AND(#REF!,"AAAAAC/99ts=")</f>
        <v>#REF!</v>
      </c>
      <c r="HM1" t="e">
        <f>AND(#REF!,"AAAAAC/99tw=")</f>
        <v>#REF!</v>
      </c>
      <c r="HN1" t="e">
        <f>AND(#REF!,"AAAAAC/99t0=")</f>
        <v>#REF!</v>
      </c>
      <c r="HO1" t="e">
        <f>AND(#REF!,"AAAAAC/99t4=")</f>
        <v>#REF!</v>
      </c>
      <c r="HP1" t="e">
        <f>AND(#REF!,"AAAAAC/99t8=")</f>
        <v>#REF!</v>
      </c>
      <c r="HQ1" t="e">
        <f>AND(#REF!,"AAAAAC/99uA=")</f>
        <v>#REF!</v>
      </c>
      <c r="HR1" t="e">
        <f>AND(#REF!,"AAAAAC/99uE=")</f>
        <v>#REF!</v>
      </c>
      <c r="HS1" t="e">
        <f>AND(#REF!,"AAAAAC/99uI=")</f>
        <v>#REF!</v>
      </c>
      <c r="HT1" t="e">
        <f>AND(#REF!,"AAAAAC/99uM=")</f>
        <v>#REF!</v>
      </c>
      <c r="HU1" t="e">
        <f>AND(#REF!,"AAAAAC/99uQ=")</f>
        <v>#REF!</v>
      </c>
      <c r="HV1" t="e">
        <f>IF(#REF!,"AAAAAC/99uU=",0)</f>
        <v>#REF!</v>
      </c>
      <c r="HW1" t="e">
        <f>AND(#REF!,"AAAAAC/99uY=")</f>
        <v>#REF!</v>
      </c>
      <c r="HX1" t="e">
        <f>AND(#REF!,"AAAAAC/99uc=")</f>
        <v>#REF!</v>
      </c>
      <c r="HY1" t="e">
        <f>AND(#REF!,"AAAAAC/99ug=")</f>
        <v>#REF!</v>
      </c>
      <c r="HZ1" t="e">
        <f>AND(#REF!,"AAAAAC/99uk=")</f>
        <v>#REF!</v>
      </c>
      <c r="IA1" t="e">
        <f>AND(#REF!,"AAAAAC/99uo=")</f>
        <v>#REF!</v>
      </c>
      <c r="IB1" t="e">
        <f>AND(#REF!,"AAAAAC/99us=")</f>
        <v>#REF!</v>
      </c>
      <c r="IC1" t="e">
        <f>AND(#REF!,"AAAAAC/99uw=")</f>
        <v>#REF!</v>
      </c>
      <c r="ID1" t="e">
        <f>AND(#REF!,"AAAAAC/99u0=")</f>
        <v>#REF!</v>
      </c>
      <c r="IE1" t="e">
        <f>AND(#REF!,"AAAAAC/99u4=")</f>
        <v>#REF!</v>
      </c>
      <c r="IF1" t="e">
        <f>AND(#REF!,"AAAAAC/99u8=")</f>
        <v>#REF!</v>
      </c>
      <c r="IG1" t="e">
        <f>AND(#REF!,"AAAAAC/99vA=")</f>
        <v>#REF!</v>
      </c>
      <c r="IH1" t="e">
        <f>AND(#REF!,"AAAAAC/99vE=")</f>
        <v>#REF!</v>
      </c>
      <c r="II1" t="e">
        <f>AND(#REF!,"AAAAAC/99vI=")</f>
        <v>#REF!</v>
      </c>
      <c r="IJ1" t="e">
        <f>IF(#REF!,"AAAAAC/99vM=",0)</f>
        <v>#REF!</v>
      </c>
      <c r="IK1" t="e">
        <f>AND(#REF!,"AAAAAC/99vQ=")</f>
        <v>#REF!</v>
      </c>
      <c r="IL1" t="e">
        <f>AND(#REF!,"AAAAAC/99vU=")</f>
        <v>#REF!</v>
      </c>
      <c r="IM1" t="e">
        <f>AND(#REF!,"AAAAAC/99vY=")</f>
        <v>#REF!</v>
      </c>
      <c r="IN1" t="e">
        <f>AND(#REF!,"AAAAAC/99vc=")</f>
        <v>#REF!</v>
      </c>
      <c r="IO1" t="e">
        <f>AND(#REF!,"AAAAAC/99vg=")</f>
        <v>#REF!</v>
      </c>
      <c r="IP1" t="e">
        <f>AND(#REF!,"AAAAAC/99vk=")</f>
        <v>#REF!</v>
      </c>
      <c r="IQ1" t="e">
        <f>AND(#REF!,"AAAAAC/99vo=")</f>
        <v>#REF!</v>
      </c>
      <c r="IR1" t="e">
        <f>AND(#REF!,"AAAAAC/99vs=")</f>
        <v>#REF!</v>
      </c>
      <c r="IS1" t="e">
        <f>AND(#REF!,"AAAAAC/99vw=")</f>
        <v>#REF!</v>
      </c>
      <c r="IT1" t="e">
        <f>AND(#REF!,"AAAAAC/99v0=")</f>
        <v>#REF!</v>
      </c>
      <c r="IU1" t="e">
        <f>AND(#REF!,"AAAAAC/99v4=")</f>
        <v>#REF!</v>
      </c>
      <c r="IV1" t="e">
        <f>AND(#REF!,"AAAAAC/99v8=")</f>
        <v>#REF!</v>
      </c>
    </row>
    <row r="2" spans="1:256" x14ac:dyDescent="0.2">
      <c r="A2" t="e">
        <f>AND(#REF!,"AAAAAE+7XQA=")</f>
        <v>#REF!</v>
      </c>
      <c r="B2" t="e">
        <f>IF(#REF!,"AAAAAE+7XQE=",0)</f>
        <v>#REF!</v>
      </c>
      <c r="C2" t="e">
        <f>AND(#REF!,"AAAAAE+7XQI=")</f>
        <v>#REF!</v>
      </c>
      <c r="D2" t="e">
        <f>AND(#REF!,"AAAAAE+7XQM=")</f>
        <v>#REF!</v>
      </c>
      <c r="E2" t="e">
        <f>AND(#REF!,"AAAAAE+7XQQ=")</f>
        <v>#REF!</v>
      </c>
      <c r="F2" t="e">
        <f>AND(#REF!,"AAAAAE+7XQU=")</f>
        <v>#REF!</v>
      </c>
      <c r="G2" t="e">
        <f>AND(#REF!,"AAAAAE+7XQY=")</f>
        <v>#REF!</v>
      </c>
      <c r="H2" t="e">
        <f>AND(#REF!,"AAAAAE+7XQc=")</f>
        <v>#REF!</v>
      </c>
      <c r="I2" t="e">
        <f>AND(#REF!,"AAAAAE+7XQg=")</f>
        <v>#REF!</v>
      </c>
      <c r="J2" t="e">
        <f>AND(#REF!,"AAAAAE+7XQk=")</f>
        <v>#REF!</v>
      </c>
      <c r="K2" t="e">
        <f>AND(#REF!,"AAAAAE+7XQo=")</f>
        <v>#REF!</v>
      </c>
      <c r="L2" t="e">
        <f>AND(#REF!,"AAAAAE+7XQs=")</f>
        <v>#REF!</v>
      </c>
      <c r="M2" t="e">
        <f>AND(#REF!,"AAAAAE+7XQw=")</f>
        <v>#REF!</v>
      </c>
      <c r="N2" t="e">
        <f>AND(#REF!,"AAAAAE+7XQ0=")</f>
        <v>#REF!</v>
      </c>
      <c r="O2" t="e">
        <f>AND(#REF!,"AAAAAE+7XQ4=")</f>
        <v>#REF!</v>
      </c>
      <c r="P2" t="e">
        <f>IF(#REF!,"AAAAAE+7XQ8=",0)</f>
        <v>#REF!</v>
      </c>
      <c r="Q2" t="e">
        <f>AND(#REF!,"AAAAAE+7XRA=")</f>
        <v>#REF!</v>
      </c>
      <c r="R2" t="e">
        <f>AND(#REF!,"AAAAAE+7XRE=")</f>
        <v>#REF!</v>
      </c>
      <c r="S2" t="e">
        <f>AND(#REF!,"AAAAAE+7XRI=")</f>
        <v>#REF!</v>
      </c>
      <c r="T2" t="e">
        <f>AND(#REF!,"AAAAAE+7XRM=")</f>
        <v>#REF!</v>
      </c>
      <c r="U2" t="e">
        <f>AND(#REF!,"AAAAAE+7XRQ=")</f>
        <v>#REF!</v>
      </c>
      <c r="V2" t="e">
        <f>AND(#REF!,"AAAAAE+7XRU=")</f>
        <v>#REF!</v>
      </c>
      <c r="W2" t="e">
        <f>AND(#REF!,"AAAAAE+7XRY=")</f>
        <v>#REF!</v>
      </c>
      <c r="X2" t="e">
        <f>AND(#REF!,"AAAAAE+7XRc=")</f>
        <v>#REF!</v>
      </c>
      <c r="Y2" t="e">
        <f>AND(#REF!,"AAAAAE+7XRg=")</f>
        <v>#REF!</v>
      </c>
      <c r="Z2" t="e">
        <f>AND(#REF!,"AAAAAE+7XRk=")</f>
        <v>#REF!</v>
      </c>
      <c r="AA2" t="e">
        <f>AND(#REF!,"AAAAAE+7XRo=")</f>
        <v>#REF!</v>
      </c>
      <c r="AB2" t="e">
        <f>AND(#REF!,"AAAAAE+7XRs=")</f>
        <v>#REF!</v>
      </c>
      <c r="AC2" t="e">
        <f>AND(#REF!,"AAAAAE+7XRw=")</f>
        <v>#REF!</v>
      </c>
      <c r="AD2" t="e">
        <f>IF(#REF!,"AAAAAE+7XR0=",0)</f>
        <v>#REF!</v>
      </c>
      <c r="AE2" t="e">
        <f>AND(#REF!,"AAAAAE+7XR4=")</f>
        <v>#REF!</v>
      </c>
      <c r="AF2" t="e">
        <f>AND(#REF!,"AAAAAE+7XR8=")</f>
        <v>#REF!</v>
      </c>
      <c r="AG2" t="e">
        <f>AND(#REF!,"AAAAAE+7XSA=")</f>
        <v>#REF!</v>
      </c>
      <c r="AH2" t="e">
        <f>AND(#REF!,"AAAAAE+7XSE=")</f>
        <v>#REF!</v>
      </c>
      <c r="AI2" t="e">
        <f>AND(#REF!,"AAAAAE+7XSI=")</f>
        <v>#REF!</v>
      </c>
      <c r="AJ2" t="e">
        <f>AND(#REF!,"AAAAAE+7XSM=")</f>
        <v>#REF!</v>
      </c>
      <c r="AK2" t="e">
        <f>AND(#REF!,"AAAAAE+7XSQ=")</f>
        <v>#REF!</v>
      </c>
      <c r="AL2" t="e">
        <f>AND(#REF!,"AAAAAE+7XSU=")</f>
        <v>#REF!</v>
      </c>
      <c r="AM2" t="e">
        <f>AND(#REF!,"AAAAAE+7XSY=")</f>
        <v>#REF!</v>
      </c>
      <c r="AN2" t="e">
        <f>AND(#REF!,"AAAAAE+7XSc=")</f>
        <v>#REF!</v>
      </c>
      <c r="AO2" t="e">
        <f>AND(#REF!,"AAAAAE+7XSg=")</f>
        <v>#REF!</v>
      </c>
      <c r="AP2" t="e">
        <f>AND(#REF!,"AAAAAE+7XSk=")</f>
        <v>#REF!</v>
      </c>
      <c r="AQ2" t="e">
        <f>AND(#REF!,"AAAAAE+7XSo=")</f>
        <v>#REF!</v>
      </c>
      <c r="AR2" t="e">
        <f>IF(#REF!,"AAAAAE+7XSs=",0)</f>
        <v>#REF!</v>
      </c>
      <c r="AS2" t="e">
        <f>AND(#REF!,"AAAAAE+7XSw=")</f>
        <v>#REF!</v>
      </c>
      <c r="AT2" t="e">
        <f>AND(#REF!,"AAAAAE+7XS0=")</f>
        <v>#REF!</v>
      </c>
      <c r="AU2" t="e">
        <f>AND(#REF!,"AAAAAE+7XS4=")</f>
        <v>#REF!</v>
      </c>
      <c r="AV2" t="e">
        <f>AND(#REF!,"AAAAAE+7XS8=")</f>
        <v>#REF!</v>
      </c>
      <c r="AW2" t="e">
        <f>AND(#REF!,"AAAAAE+7XTA=")</f>
        <v>#REF!</v>
      </c>
      <c r="AX2" t="e">
        <f>AND(#REF!,"AAAAAE+7XTE=")</f>
        <v>#REF!</v>
      </c>
      <c r="AY2" t="e">
        <f>AND(#REF!,"AAAAAE+7XTI=")</f>
        <v>#REF!</v>
      </c>
      <c r="AZ2" t="e">
        <f>AND(#REF!,"AAAAAE+7XTM=")</f>
        <v>#REF!</v>
      </c>
      <c r="BA2" t="e">
        <f>AND(#REF!,"AAAAAE+7XTQ=")</f>
        <v>#REF!</v>
      </c>
      <c r="BB2" t="e">
        <f>AND(#REF!,"AAAAAE+7XTU=")</f>
        <v>#REF!</v>
      </c>
      <c r="BC2" t="e">
        <f>AND(#REF!,"AAAAAE+7XTY=")</f>
        <v>#REF!</v>
      </c>
      <c r="BD2" t="e">
        <f>AND(#REF!,"AAAAAE+7XTc=")</f>
        <v>#REF!</v>
      </c>
      <c r="BE2" t="e">
        <f>AND(#REF!,"AAAAAE+7XTg=")</f>
        <v>#REF!</v>
      </c>
      <c r="BF2" t="e">
        <f>IF(#REF!,"AAAAAE+7XTk=",0)</f>
        <v>#REF!</v>
      </c>
      <c r="BG2" t="e">
        <f>AND(#REF!,"AAAAAE+7XTo=")</f>
        <v>#REF!</v>
      </c>
      <c r="BH2" t="e">
        <f>AND(#REF!,"AAAAAE+7XTs=")</f>
        <v>#REF!</v>
      </c>
      <c r="BI2" t="e">
        <f>AND(#REF!,"AAAAAE+7XTw=")</f>
        <v>#REF!</v>
      </c>
      <c r="BJ2" t="e">
        <f>AND(#REF!,"AAAAAE+7XT0=")</f>
        <v>#REF!</v>
      </c>
      <c r="BK2" t="e">
        <f>AND(#REF!,"AAAAAE+7XT4=")</f>
        <v>#REF!</v>
      </c>
      <c r="BL2" t="e">
        <f>AND(#REF!,"AAAAAE+7XT8=")</f>
        <v>#REF!</v>
      </c>
      <c r="BM2" t="e">
        <f>AND(#REF!,"AAAAAE+7XUA=")</f>
        <v>#REF!</v>
      </c>
      <c r="BN2" t="e">
        <f>AND(#REF!,"AAAAAE+7XUE=")</f>
        <v>#REF!</v>
      </c>
      <c r="BO2" t="e">
        <f>AND(#REF!,"AAAAAE+7XUI=")</f>
        <v>#REF!</v>
      </c>
      <c r="BP2" t="e">
        <f>AND(#REF!,"AAAAAE+7XUM=")</f>
        <v>#REF!</v>
      </c>
      <c r="BQ2" t="e">
        <f>AND(#REF!,"AAAAAE+7XUQ=")</f>
        <v>#REF!</v>
      </c>
      <c r="BR2" t="e">
        <f>AND(#REF!,"AAAAAE+7XUU=")</f>
        <v>#REF!</v>
      </c>
      <c r="BS2" t="e">
        <f>AND(#REF!,"AAAAAE+7XUY=")</f>
        <v>#REF!</v>
      </c>
      <c r="BT2" t="e">
        <f>IF(#REF!,"AAAAAE+7XUc=",0)</f>
        <v>#REF!</v>
      </c>
      <c r="BU2" t="e">
        <f>AND(#REF!,"AAAAAE+7XUg=")</f>
        <v>#REF!</v>
      </c>
      <c r="BV2" t="e">
        <f>AND(#REF!,"AAAAAE+7XUk=")</f>
        <v>#REF!</v>
      </c>
      <c r="BW2" t="e">
        <f>AND(#REF!,"AAAAAE+7XUo=")</f>
        <v>#REF!</v>
      </c>
      <c r="BX2" t="e">
        <f>AND(#REF!,"AAAAAE+7XUs=")</f>
        <v>#REF!</v>
      </c>
      <c r="BY2" t="e">
        <f>AND(#REF!,"AAAAAE+7XUw=")</f>
        <v>#REF!</v>
      </c>
      <c r="BZ2" t="e">
        <f>AND(#REF!,"AAAAAE+7XU0=")</f>
        <v>#REF!</v>
      </c>
      <c r="CA2" t="e">
        <f>AND(#REF!,"AAAAAE+7XU4=")</f>
        <v>#REF!</v>
      </c>
      <c r="CB2" t="e">
        <f>AND(#REF!,"AAAAAE+7XU8=")</f>
        <v>#REF!</v>
      </c>
      <c r="CC2" t="e">
        <f>AND(#REF!,"AAAAAE+7XVA=")</f>
        <v>#REF!</v>
      </c>
      <c r="CD2" t="e">
        <f>AND(#REF!,"AAAAAE+7XVE=")</f>
        <v>#REF!</v>
      </c>
      <c r="CE2" t="e">
        <f>AND(#REF!,"AAAAAE+7XVI=")</f>
        <v>#REF!</v>
      </c>
      <c r="CF2" t="e">
        <f>AND(#REF!,"AAAAAE+7XVM=")</f>
        <v>#REF!</v>
      </c>
      <c r="CG2" t="e">
        <f>AND(#REF!,"AAAAAE+7XVQ=")</f>
        <v>#REF!</v>
      </c>
      <c r="CH2" t="e">
        <f>IF(#REF!,"AAAAAE+7XVU=",0)</f>
        <v>#REF!</v>
      </c>
      <c r="CI2" t="e">
        <f>AND(#REF!,"AAAAAE+7XVY=")</f>
        <v>#REF!</v>
      </c>
      <c r="CJ2" t="e">
        <f>AND(#REF!,"AAAAAE+7XVc=")</f>
        <v>#REF!</v>
      </c>
      <c r="CK2" t="e">
        <f>AND(#REF!,"AAAAAE+7XVg=")</f>
        <v>#REF!</v>
      </c>
      <c r="CL2" t="e">
        <f>AND(#REF!,"AAAAAE+7XVk=")</f>
        <v>#REF!</v>
      </c>
      <c r="CM2" t="e">
        <f>AND(#REF!,"AAAAAE+7XVo=")</f>
        <v>#REF!</v>
      </c>
      <c r="CN2" t="e">
        <f>AND(#REF!,"AAAAAE+7XVs=")</f>
        <v>#REF!</v>
      </c>
      <c r="CO2" t="e">
        <f>AND(#REF!,"AAAAAE+7XVw=")</f>
        <v>#REF!</v>
      </c>
      <c r="CP2" t="e">
        <f>AND(#REF!,"AAAAAE+7XV0=")</f>
        <v>#REF!</v>
      </c>
      <c r="CQ2" t="e">
        <f>AND(#REF!,"AAAAAE+7XV4=")</f>
        <v>#REF!</v>
      </c>
      <c r="CR2" t="e">
        <f>AND(#REF!,"AAAAAE+7XV8=")</f>
        <v>#REF!</v>
      </c>
      <c r="CS2" t="e">
        <f>AND(#REF!,"AAAAAE+7XWA=")</f>
        <v>#REF!</v>
      </c>
      <c r="CT2" t="e">
        <f>AND(#REF!,"AAAAAE+7XWE=")</f>
        <v>#REF!</v>
      </c>
      <c r="CU2" t="e">
        <f>AND(#REF!,"AAAAAE+7XWI=")</f>
        <v>#REF!</v>
      </c>
      <c r="CV2" t="e">
        <f>IF(#REF!,"AAAAAE+7XWM=",0)</f>
        <v>#REF!</v>
      </c>
      <c r="CW2" t="e">
        <f>AND(#REF!,"AAAAAE+7XWQ=")</f>
        <v>#REF!</v>
      </c>
      <c r="CX2" t="e">
        <f>AND(#REF!,"AAAAAE+7XWU=")</f>
        <v>#REF!</v>
      </c>
      <c r="CY2" t="e">
        <f>AND(#REF!,"AAAAAE+7XWY=")</f>
        <v>#REF!</v>
      </c>
      <c r="CZ2" t="e">
        <f>AND(#REF!,"AAAAAE+7XWc=")</f>
        <v>#REF!</v>
      </c>
      <c r="DA2" t="e">
        <f>AND(#REF!,"AAAAAE+7XWg=")</f>
        <v>#REF!</v>
      </c>
      <c r="DB2" t="e">
        <f>AND(#REF!,"AAAAAE+7XWk=")</f>
        <v>#REF!</v>
      </c>
      <c r="DC2" t="e">
        <f>AND(#REF!,"AAAAAE+7XWo=")</f>
        <v>#REF!</v>
      </c>
      <c r="DD2" t="e">
        <f>AND(#REF!,"AAAAAE+7XWs=")</f>
        <v>#REF!</v>
      </c>
      <c r="DE2" t="e">
        <f>AND(#REF!,"AAAAAE+7XWw=")</f>
        <v>#REF!</v>
      </c>
      <c r="DF2" t="e">
        <f>AND(#REF!,"AAAAAE+7XW0=")</f>
        <v>#REF!</v>
      </c>
      <c r="DG2" t="e">
        <f>AND(#REF!,"AAAAAE+7XW4=")</f>
        <v>#REF!</v>
      </c>
      <c r="DH2" t="e">
        <f>AND(#REF!,"AAAAAE+7XW8=")</f>
        <v>#REF!</v>
      </c>
      <c r="DI2" t="e">
        <f>AND(#REF!,"AAAAAE+7XXA=")</f>
        <v>#REF!</v>
      </c>
      <c r="DJ2" t="e">
        <f>IF(#REF!,"AAAAAE+7XXE=",0)</f>
        <v>#REF!</v>
      </c>
      <c r="DK2" t="e">
        <f>AND(#REF!,"AAAAAE+7XXI=")</f>
        <v>#REF!</v>
      </c>
      <c r="DL2" t="e">
        <f>AND(#REF!,"AAAAAE+7XXM=")</f>
        <v>#REF!</v>
      </c>
      <c r="DM2" t="e">
        <f>AND(#REF!,"AAAAAE+7XXQ=")</f>
        <v>#REF!</v>
      </c>
      <c r="DN2" t="e">
        <f>AND(#REF!,"AAAAAE+7XXU=")</f>
        <v>#REF!</v>
      </c>
      <c r="DO2" t="e">
        <f>AND(#REF!,"AAAAAE+7XXY=")</f>
        <v>#REF!</v>
      </c>
      <c r="DP2" t="e">
        <f>AND(#REF!,"AAAAAE+7XXc=")</f>
        <v>#REF!</v>
      </c>
      <c r="DQ2" t="e">
        <f>AND(#REF!,"AAAAAE+7XXg=")</f>
        <v>#REF!</v>
      </c>
      <c r="DR2" t="e">
        <f>AND(#REF!,"AAAAAE+7XXk=")</f>
        <v>#REF!</v>
      </c>
      <c r="DS2" t="e">
        <f>AND(#REF!,"AAAAAE+7XXo=")</f>
        <v>#REF!</v>
      </c>
      <c r="DT2" t="e">
        <f>AND(#REF!,"AAAAAE+7XXs=")</f>
        <v>#REF!</v>
      </c>
      <c r="DU2" t="e">
        <f>AND(#REF!,"AAAAAE+7XXw=")</f>
        <v>#REF!</v>
      </c>
      <c r="DV2" t="e">
        <f>AND(#REF!,"AAAAAE+7XX0=")</f>
        <v>#REF!</v>
      </c>
      <c r="DW2" t="e">
        <f>AND(#REF!,"AAAAAE+7XX4=")</f>
        <v>#REF!</v>
      </c>
      <c r="DX2" t="e">
        <f>IF(#REF!,"AAAAAE+7XX8=",0)</f>
        <v>#REF!</v>
      </c>
      <c r="DY2" t="e">
        <f>AND(#REF!,"AAAAAE+7XYA=")</f>
        <v>#REF!</v>
      </c>
      <c r="DZ2" t="e">
        <f>AND(#REF!,"AAAAAE+7XYE=")</f>
        <v>#REF!</v>
      </c>
      <c r="EA2" t="e">
        <f>AND(#REF!,"AAAAAE+7XYI=")</f>
        <v>#REF!</v>
      </c>
      <c r="EB2" t="e">
        <f>AND(#REF!,"AAAAAE+7XYM=")</f>
        <v>#REF!</v>
      </c>
      <c r="EC2" t="e">
        <f>AND(#REF!,"AAAAAE+7XYQ=")</f>
        <v>#REF!</v>
      </c>
      <c r="ED2" t="e">
        <f>AND(#REF!,"AAAAAE+7XYU=")</f>
        <v>#REF!</v>
      </c>
      <c r="EE2" t="e">
        <f>AND(#REF!,"AAAAAE+7XYY=")</f>
        <v>#REF!</v>
      </c>
      <c r="EF2" t="e">
        <f>AND(#REF!,"AAAAAE+7XYc=")</f>
        <v>#REF!</v>
      </c>
      <c r="EG2" t="e">
        <f>AND(#REF!,"AAAAAE+7XYg=")</f>
        <v>#REF!</v>
      </c>
      <c r="EH2" t="e">
        <f>AND(#REF!,"AAAAAE+7XYk=")</f>
        <v>#REF!</v>
      </c>
      <c r="EI2" t="e">
        <f>AND(#REF!,"AAAAAE+7XYo=")</f>
        <v>#REF!</v>
      </c>
      <c r="EJ2" t="e">
        <f>AND(#REF!,"AAAAAE+7XYs=")</f>
        <v>#REF!</v>
      </c>
      <c r="EK2" t="e">
        <f>AND(#REF!,"AAAAAE+7XYw=")</f>
        <v>#REF!</v>
      </c>
      <c r="EL2" t="e">
        <f>IF(#REF!,"AAAAAE+7XY0=",0)</f>
        <v>#REF!</v>
      </c>
      <c r="EM2" t="e">
        <f>AND(#REF!,"AAAAAE+7XY4=")</f>
        <v>#REF!</v>
      </c>
      <c r="EN2" t="e">
        <f>AND(#REF!,"AAAAAE+7XY8=")</f>
        <v>#REF!</v>
      </c>
      <c r="EO2" t="e">
        <f>AND(#REF!,"AAAAAE+7XZA=")</f>
        <v>#REF!</v>
      </c>
      <c r="EP2" t="e">
        <f>AND(#REF!,"AAAAAE+7XZE=")</f>
        <v>#REF!</v>
      </c>
      <c r="EQ2" t="e">
        <f>AND(#REF!,"AAAAAE+7XZI=")</f>
        <v>#REF!</v>
      </c>
      <c r="ER2" t="e">
        <f>AND(#REF!,"AAAAAE+7XZM=")</f>
        <v>#REF!</v>
      </c>
      <c r="ES2" t="e">
        <f>AND(#REF!,"AAAAAE+7XZQ=")</f>
        <v>#REF!</v>
      </c>
      <c r="ET2" t="e">
        <f>AND(#REF!,"AAAAAE+7XZU=")</f>
        <v>#REF!</v>
      </c>
      <c r="EU2" t="e">
        <f>AND(#REF!,"AAAAAE+7XZY=")</f>
        <v>#REF!</v>
      </c>
      <c r="EV2" t="e">
        <f>AND(#REF!,"AAAAAE+7XZc=")</f>
        <v>#REF!</v>
      </c>
      <c r="EW2" t="e">
        <f>AND(#REF!,"AAAAAE+7XZg=")</f>
        <v>#REF!</v>
      </c>
      <c r="EX2" t="e">
        <f>AND(#REF!,"AAAAAE+7XZk=")</f>
        <v>#REF!</v>
      </c>
      <c r="EY2" t="e">
        <f>AND(#REF!,"AAAAAE+7XZo=")</f>
        <v>#REF!</v>
      </c>
      <c r="EZ2" t="e">
        <f>IF(#REF!,"AAAAAE+7XZs=",0)</f>
        <v>#REF!</v>
      </c>
      <c r="FA2" t="e">
        <f>AND(#REF!,"AAAAAE+7XZw=")</f>
        <v>#REF!</v>
      </c>
      <c r="FB2" t="e">
        <f>AND(#REF!,"AAAAAE+7XZ0=")</f>
        <v>#REF!</v>
      </c>
      <c r="FC2" t="e">
        <f>AND(#REF!,"AAAAAE+7XZ4=")</f>
        <v>#REF!</v>
      </c>
      <c r="FD2" t="e">
        <f>AND(#REF!,"AAAAAE+7XZ8=")</f>
        <v>#REF!</v>
      </c>
      <c r="FE2" t="e">
        <f>AND(#REF!,"AAAAAE+7XaA=")</f>
        <v>#REF!</v>
      </c>
      <c r="FF2" t="e">
        <f>AND(#REF!,"AAAAAE+7XaE=")</f>
        <v>#REF!</v>
      </c>
      <c r="FG2" t="e">
        <f>AND(#REF!,"AAAAAE+7XaI=")</f>
        <v>#REF!</v>
      </c>
      <c r="FH2" t="e">
        <f>AND(#REF!,"AAAAAE+7XaM=")</f>
        <v>#REF!</v>
      </c>
      <c r="FI2" t="e">
        <f>AND(#REF!,"AAAAAE+7XaQ=")</f>
        <v>#REF!</v>
      </c>
      <c r="FJ2" t="e">
        <f>AND(#REF!,"AAAAAE+7XaU=")</f>
        <v>#REF!</v>
      </c>
      <c r="FK2" t="e">
        <f>AND(#REF!,"AAAAAE+7XaY=")</f>
        <v>#REF!</v>
      </c>
      <c r="FL2" t="e">
        <f>AND(#REF!,"AAAAAE+7Xac=")</f>
        <v>#REF!</v>
      </c>
      <c r="FM2" t="e">
        <f>AND(#REF!,"AAAAAE+7Xag=")</f>
        <v>#REF!</v>
      </c>
      <c r="FN2" t="e">
        <f>IF(#REF!,"AAAAAE+7Xak=",0)</f>
        <v>#REF!</v>
      </c>
      <c r="FO2" t="e">
        <f>AND(#REF!,"AAAAAE+7Xao=")</f>
        <v>#REF!</v>
      </c>
      <c r="FP2" t="e">
        <f>AND(#REF!,"AAAAAE+7Xas=")</f>
        <v>#REF!</v>
      </c>
      <c r="FQ2" t="e">
        <f>AND(#REF!,"AAAAAE+7Xaw=")</f>
        <v>#REF!</v>
      </c>
      <c r="FR2" t="e">
        <f>AND(#REF!,"AAAAAE+7Xa0=")</f>
        <v>#REF!</v>
      </c>
      <c r="FS2" t="e">
        <f>AND(#REF!,"AAAAAE+7Xa4=")</f>
        <v>#REF!</v>
      </c>
      <c r="FT2" t="e">
        <f>AND(#REF!,"AAAAAE+7Xa8=")</f>
        <v>#REF!</v>
      </c>
      <c r="FU2" t="e">
        <f>AND(#REF!,"AAAAAE+7XbA=")</f>
        <v>#REF!</v>
      </c>
      <c r="FV2" t="e">
        <f>AND(#REF!,"AAAAAE+7XbE=")</f>
        <v>#REF!</v>
      </c>
      <c r="FW2" t="e">
        <f>AND(#REF!,"AAAAAE+7XbI=")</f>
        <v>#REF!</v>
      </c>
      <c r="FX2" t="e">
        <f>AND(#REF!,"AAAAAE+7XbM=")</f>
        <v>#REF!</v>
      </c>
      <c r="FY2" t="e">
        <f>AND(#REF!,"AAAAAE+7XbQ=")</f>
        <v>#REF!</v>
      </c>
      <c r="FZ2" t="e">
        <f>AND(#REF!,"AAAAAE+7XbU=")</f>
        <v>#REF!</v>
      </c>
      <c r="GA2" t="e">
        <f>AND(#REF!,"AAAAAE+7XbY=")</f>
        <v>#REF!</v>
      </c>
      <c r="GB2" t="e">
        <f>IF(#REF!,"AAAAAE+7Xbc=",0)</f>
        <v>#REF!</v>
      </c>
      <c r="GC2" t="e">
        <f>AND(#REF!,"AAAAAE+7Xbg=")</f>
        <v>#REF!</v>
      </c>
      <c r="GD2" t="e">
        <f>AND(#REF!,"AAAAAE+7Xbk=")</f>
        <v>#REF!</v>
      </c>
      <c r="GE2" t="e">
        <f>AND(#REF!,"AAAAAE+7Xbo=")</f>
        <v>#REF!</v>
      </c>
      <c r="GF2" t="e">
        <f>AND(#REF!,"AAAAAE+7Xbs=")</f>
        <v>#REF!</v>
      </c>
      <c r="GG2" t="e">
        <f>AND(#REF!,"AAAAAE+7Xbw=")</f>
        <v>#REF!</v>
      </c>
      <c r="GH2" t="e">
        <f>AND(#REF!,"AAAAAE+7Xb0=")</f>
        <v>#REF!</v>
      </c>
      <c r="GI2" t="e">
        <f>AND(#REF!,"AAAAAE+7Xb4=")</f>
        <v>#REF!</v>
      </c>
      <c r="GJ2" t="e">
        <f>AND(#REF!,"AAAAAE+7Xb8=")</f>
        <v>#REF!</v>
      </c>
      <c r="GK2" t="e">
        <f>AND(#REF!,"AAAAAE+7XcA=")</f>
        <v>#REF!</v>
      </c>
      <c r="GL2" t="e">
        <f>AND(#REF!,"AAAAAE+7XcE=")</f>
        <v>#REF!</v>
      </c>
      <c r="GM2" t="e">
        <f>AND(#REF!,"AAAAAE+7XcI=")</f>
        <v>#REF!</v>
      </c>
      <c r="GN2" t="e">
        <f>AND(#REF!,"AAAAAE+7XcM=")</f>
        <v>#REF!</v>
      </c>
      <c r="GO2" t="e">
        <f>AND(#REF!,"AAAAAE+7XcQ=")</f>
        <v>#REF!</v>
      </c>
      <c r="GP2" t="e">
        <f>IF(#REF!,"AAAAAE+7XcU=",0)</f>
        <v>#REF!</v>
      </c>
      <c r="GQ2" t="e">
        <f>AND(#REF!,"AAAAAE+7XcY=")</f>
        <v>#REF!</v>
      </c>
      <c r="GR2" t="e">
        <f>AND(#REF!,"AAAAAE+7Xcc=")</f>
        <v>#REF!</v>
      </c>
      <c r="GS2" t="e">
        <f>AND(#REF!,"AAAAAE+7Xcg=")</f>
        <v>#REF!</v>
      </c>
      <c r="GT2" t="e">
        <f>AND(#REF!,"AAAAAE+7Xck=")</f>
        <v>#REF!</v>
      </c>
      <c r="GU2" t="e">
        <f>AND(#REF!,"AAAAAE+7Xco=")</f>
        <v>#REF!</v>
      </c>
      <c r="GV2" t="e">
        <f>AND(#REF!,"AAAAAE+7Xcs=")</f>
        <v>#REF!</v>
      </c>
      <c r="GW2" t="e">
        <f>AND(#REF!,"AAAAAE+7Xcw=")</f>
        <v>#REF!</v>
      </c>
      <c r="GX2" t="e">
        <f>AND(#REF!,"AAAAAE+7Xc0=")</f>
        <v>#REF!</v>
      </c>
      <c r="GY2" t="e">
        <f>AND(#REF!,"AAAAAE+7Xc4=")</f>
        <v>#REF!</v>
      </c>
      <c r="GZ2" t="e">
        <f>AND(#REF!,"AAAAAE+7Xc8=")</f>
        <v>#REF!</v>
      </c>
      <c r="HA2" t="e">
        <f>AND(#REF!,"AAAAAE+7XdA=")</f>
        <v>#REF!</v>
      </c>
      <c r="HB2" t="e">
        <f>AND(#REF!,"AAAAAE+7XdE=")</f>
        <v>#REF!</v>
      </c>
      <c r="HC2" t="e">
        <f>AND(#REF!,"AAAAAE+7XdI=")</f>
        <v>#REF!</v>
      </c>
      <c r="HD2" t="e">
        <f>IF(#REF!,"AAAAAE+7XdM=",0)</f>
        <v>#REF!</v>
      </c>
      <c r="HE2" t="e">
        <f>AND(#REF!,"AAAAAE+7XdQ=")</f>
        <v>#REF!</v>
      </c>
      <c r="HF2" t="e">
        <f>AND(#REF!,"AAAAAE+7XdU=")</f>
        <v>#REF!</v>
      </c>
      <c r="HG2" t="e">
        <f>AND(#REF!,"AAAAAE+7XdY=")</f>
        <v>#REF!</v>
      </c>
      <c r="HH2" t="e">
        <f>AND(#REF!,"AAAAAE+7Xdc=")</f>
        <v>#REF!</v>
      </c>
      <c r="HI2" t="e">
        <f>AND(#REF!,"AAAAAE+7Xdg=")</f>
        <v>#REF!</v>
      </c>
      <c r="HJ2" t="e">
        <f>AND(#REF!,"AAAAAE+7Xdk=")</f>
        <v>#REF!</v>
      </c>
      <c r="HK2" t="e">
        <f>AND(#REF!,"AAAAAE+7Xdo=")</f>
        <v>#REF!</v>
      </c>
      <c r="HL2" t="e">
        <f>AND(#REF!,"AAAAAE+7Xds=")</f>
        <v>#REF!</v>
      </c>
      <c r="HM2" t="e">
        <f>AND(#REF!,"AAAAAE+7Xdw=")</f>
        <v>#REF!</v>
      </c>
      <c r="HN2" t="e">
        <f>AND(#REF!,"AAAAAE+7Xd0=")</f>
        <v>#REF!</v>
      </c>
      <c r="HO2" t="e">
        <f>AND(#REF!,"AAAAAE+7Xd4=")</f>
        <v>#REF!</v>
      </c>
      <c r="HP2" t="e">
        <f>AND(#REF!,"AAAAAE+7Xd8=")</f>
        <v>#REF!</v>
      </c>
      <c r="HQ2" t="e">
        <f>AND(#REF!,"AAAAAE+7XeA=")</f>
        <v>#REF!</v>
      </c>
      <c r="HR2" t="e">
        <f>IF(#REF!,"AAAAAE+7XeE=",0)</f>
        <v>#REF!</v>
      </c>
      <c r="HS2" t="e">
        <f>AND(#REF!,"AAAAAE+7XeI=")</f>
        <v>#REF!</v>
      </c>
      <c r="HT2" t="e">
        <f>AND(#REF!,"AAAAAE+7XeM=")</f>
        <v>#REF!</v>
      </c>
      <c r="HU2" t="e">
        <f>AND(#REF!,"AAAAAE+7XeQ=")</f>
        <v>#REF!</v>
      </c>
      <c r="HV2" t="e">
        <f>AND(#REF!,"AAAAAE+7XeU=")</f>
        <v>#REF!</v>
      </c>
      <c r="HW2" t="e">
        <f>AND(#REF!,"AAAAAE+7XeY=")</f>
        <v>#REF!</v>
      </c>
      <c r="HX2" t="e">
        <f>AND(#REF!,"AAAAAE+7Xec=")</f>
        <v>#REF!</v>
      </c>
      <c r="HY2" t="e">
        <f>AND(#REF!,"AAAAAE+7Xeg=")</f>
        <v>#REF!</v>
      </c>
      <c r="HZ2" t="e">
        <f>AND(#REF!,"AAAAAE+7Xek=")</f>
        <v>#REF!</v>
      </c>
      <c r="IA2" t="e">
        <f>AND(#REF!,"AAAAAE+7Xeo=")</f>
        <v>#REF!</v>
      </c>
      <c r="IB2" t="e">
        <f>AND(#REF!,"AAAAAE+7Xes=")</f>
        <v>#REF!</v>
      </c>
      <c r="IC2" t="e">
        <f>AND(#REF!,"AAAAAE+7Xew=")</f>
        <v>#REF!</v>
      </c>
      <c r="ID2" t="e">
        <f>AND(#REF!,"AAAAAE+7Xe0=")</f>
        <v>#REF!</v>
      </c>
      <c r="IE2" t="e">
        <f>AND(#REF!,"AAAAAE+7Xe4=")</f>
        <v>#REF!</v>
      </c>
      <c r="IF2" t="e">
        <f>IF(#REF!,"AAAAAE+7Xe8=",0)</f>
        <v>#REF!</v>
      </c>
      <c r="IG2" t="e">
        <f>AND(#REF!,"AAAAAE+7XfA=")</f>
        <v>#REF!</v>
      </c>
      <c r="IH2" t="e">
        <f>AND(#REF!,"AAAAAE+7XfE=")</f>
        <v>#REF!</v>
      </c>
      <c r="II2" t="e">
        <f>AND(#REF!,"AAAAAE+7XfI=")</f>
        <v>#REF!</v>
      </c>
      <c r="IJ2" t="e">
        <f>AND(#REF!,"AAAAAE+7XfM=")</f>
        <v>#REF!</v>
      </c>
      <c r="IK2" t="e">
        <f>AND(#REF!,"AAAAAE+7XfQ=")</f>
        <v>#REF!</v>
      </c>
      <c r="IL2" t="e">
        <f>AND(#REF!,"AAAAAE+7XfU=")</f>
        <v>#REF!</v>
      </c>
      <c r="IM2" t="e">
        <f>AND(#REF!,"AAAAAE+7XfY=")</f>
        <v>#REF!</v>
      </c>
      <c r="IN2" t="e">
        <f>AND(#REF!,"AAAAAE+7Xfc=")</f>
        <v>#REF!</v>
      </c>
      <c r="IO2" t="e">
        <f>AND(#REF!,"AAAAAE+7Xfg=")</f>
        <v>#REF!</v>
      </c>
      <c r="IP2" t="e">
        <f>AND(#REF!,"AAAAAE+7Xfk=")</f>
        <v>#REF!</v>
      </c>
      <c r="IQ2" t="e">
        <f>AND(#REF!,"AAAAAE+7Xfo=")</f>
        <v>#REF!</v>
      </c>
      <c r="IR2" t="e">
        <f>AND(#REF!,"AAAAAE+7Xfs=")</f>
        <v>#REF!</v>
      </c>
      <c r="IS2" t="e">
        <f>AND(#REF!,"AAAAAE+7Xfw=")</f>
        <v>#REF!</v>
      </c>
      <c r="IT2" t="e">
        <f>IF(#REF!,"AAAAAE+7Xf0=",0)</f>
        <v>#REF!</v>
      </c>
      <c r="IU2" t="e">
        <f>AND(#REF!,"AAAAAE+7Xf4=")</f>
        <v>#REF!</v>
      </c>
      <c r="IV2" t="e">
        <f>AND(#REF!,"AAAAAE+7Xf8=")</f>
        <v>#REF!</v>
      </c>
    </row>
    <row r="3" spans="1:256" x14ac:dyDescent="0.2">
      <c r="A3" t="e">
        <f>AND(#REF!,"AAAAAH3X/wA=")</f>
        <v>#REF!</v>
      </c>
      <c r="B3" t="e">
        <f>AND(#REF!,"AAAAAH3X/wE=")</f>
        <v>#REF!</v>
      </c>
      <c r="C3" t="e">
        <f>AND(#REF!,"AAAAAH3X/wI=")</f>
        <v>#REF!</v>
      </c>
      <c r="D3" t="e">
        <f>AND(#REF!,"AAAAAH3X/wM=")</f>
        <v>#REF!</v>
      </c>
      <c r="E3" t="e">
        <f>AND(#REF!,"AAAAAH3X/wQ=")</f>
        <v>#REF!</v>
      </c>
      <c r="F3" t="e">
        <f>AND(#REF!,"AAAAAH3X/wU=")</f>
        <v>#REF!</v>
      </c>
      <c r="G3" t="e">
        <f>AND(#REF!,"AAAAAH3X/wY=")</f>
        <v>#REF!</v>
      </c>
      <c r="H3" t="e">
        <f>AND(#REF!,"AAAAAH3X/wc=")</f>
        <v>#REF!</v>
      </c>
      <c r="I3" t="e">
        <f>AND(#REF!,"AAAAAH3X/wg=")</f>
        <v>#REF!</v>
      </c>
      <c r="J3" t="e">
        <f>AND(#REF!,"AAAAAH3X/wk=")</f>
        <v>#REF!</v>
      </c>
      <c r="K3" t="e">
        <f>AND(#REF!,"AAAAAH3X/wo=")</f>
        <v>#REF!</v>
      </c>
      <c r="L3" t="e">
        <f>IF(#REF!,"AAAAAH3X/ws=",0)</f>
        <v>#REF!</v>
      </c>
      <c r="M3" t="e">
        <f>AND(#REF!,"AAAAAH3X/ww=")</f>
        <v>#REF!</v>
      </c>
      <c r="N3" t="e">
        <f>AND(#REF!,"AAAAAH3X/w0=")</f>
        <v>#REF!</v>
      </c>
      <c r="O3" t="e">
        <f>AND(#REF!,"AAAAAH3X/w4=")</f>
        <v>#REF!</v>
      </c>
      <c r="P3" t="e">
        <f>AND(#REF!,"AAAAAH3X/w8=")</f>
        <v>#REF!</v>
      </c>
      <c r="Q3" t="e">
        <f>AND(#REF!,"AAAAAH3X/xA=")</f>
        <v>#REF!</v>
      </c>
      <c r="R3" t="e">
        <f>AND(#REF!,"AAAAAH3X/xE=")</f>
        <v>#REF!</v>
      </c>
      <c r="S3" t="e">
        <f>AND(#REF!,"AAAAAH3X/xI=")</f>
        <v>#REF!</v>
      </c>
      <c r="T3" t="e">
        <f>AND(#REF!,"AAAAAH3X/xM=")</f>
        <v>#REF!</v>
      </c>
      <c r="U3" t="e">
        <f>AND(#REF!,"AAAAAH3X/xQ=")</f>
        <v>#REF!</v>
      </c>
      <c r="V3" t="e">
        <f>AND(#REF!,"AAAAAH3X/xU=")</f>
        <v>#REF!</v>
      </c>
      <c r="W3" t="e">
        <f>AND(#REF!,"AAAAAH3X/xY=")</f>
        <v>#REF!</v>
      </c>
      <c r="X3" t="e">
        <f>AND(#REF!,"AAAAAH3X/xc=")</f>
        <v>#REF!</v>
      </c>
      <c r="Y3" t="e">
        <f>AND(#REF!,"AAAAAH3X/xg=")</f>
        <v>#REF!</v>
      </c>
      <c r="Z3" t="e">
        <f>IF(#REF!,"AAAAAH3X/xk=",0)</f>
        <v>#REF!</v>
      </c>
      <c r="AA3" t="e">
        <f>AND(#REF!,"AAAAAH3X/xo=")</f>
        <v>#REF!</v>
      </c>
      <c r="AB3" t="e">
        <f>AND(#REF!,"AAAAAH3X/xs=")</f>
        <v>#REF!</v>
      </c>
      <c r="AC3" t="e">
        <f>AND(#REF!,"AAAAAH3X/xw=")</f>
        <v>#REF!</v>
      </c>
      <c r="AD3" t="e">
        <f>AND(#REF!,"AAAAAH3X/x0=")</f>
        <v>#REF!</v>
      </c>
      <c r="AE3" t="e">
        <f>AND(#REF!,"AAAAAH3X/x4=")</f>
        <v>#REF!</v>
      </c>
      <c r="AF3" t="e">
        <f>AND(#REF!,"AAAAAH3X/x8=")</f>
        <v>#REF!</v>
      </c>
      <c r="AG3" t="e">
        <f>AND(#REF!,"AAAAAH3X/yA=")</f>
        <v>#REF!</v>
      </c>
      <c r="AH3" t="e">
        <f>AND(#REF!,"AAAAAH3X/yE=")</f>
        <v>#REF!</v>
      </c>
      <c r="AI3" t="e">
        <f>AND(#REF!,"AAAAAH3X/yI=")</f>
        <v>#REF!</v>
      </c>
      <c r="AJ3" t="e">
        <f>AND(#REF!,"AAAAAH3X/yM=")</f>
        <v>#REF!</v>
      </c>
      <c r="AK3" t="e">
        <f>AND(#REF!,"AAAAAH3X/yQ=")</f>
        <v>#REF!</v>
      </c>
      <c r="AL3" t="e">
        <f>AND(#REF!,"AAAAAH3X/yU=")</f>
        <v>#REF!</v>
      </c>
      <c r="AM3" t="e">
        <f>AND(#REF!,"AAAAAH3X/yY=")</f>
        <v>#REF!</v>
      </c>
      <c r="AN3" t="e">
        <f>IF(#REF!,"AAAAAH3X/yc=",0)</f>
        <v>#REF!</v>
      </c>
      <c r="AO3" t="e">
        <f>AND(#REF!,"AAAAAH3X/yg=")</f>
        <v>#REF!</v>
      </c>
      <c r="AP3" t="e">
        <f>AND(#REF!,"AAAAAH3X/yk=")</f>
        <v>#REF!</v>
      </c>
      <c r="AQ3" t="e">
        <f>AND(#REF!,"AAAAAH3X/yo=")</f>
        <v>#REF!</v>
      </c>
      <c r="AR3" t="e">
        <f>AND(#REF!,"AAAAAH3X/ys=")</f>
        <v>#REF!</v>
      </c>
      <c r="AS3" t="e">
        <f>AND(#REF!,"AAAAAH3X/yw=")</f>
        <v>#REF!</v>
      </c>
      <c r="AT3" t="e">
        <f>AND(#REF!,"AAAAAH3X/y0=")</f>
        <v>#REF!</v>
      </c>
      <c r="AU3" t="e">
        <f>AND(#REF!,"AAAAAH3X/y4=")</f>
        <v>#REF!</v>
      </c>
      <c r="AV3" t="e">
        <f>AND(#REF!,"AAAAAH3X/y8=")</f>
        <v>#REF!</v>
      </c>
      <c r="AW3" t="e">
        <f>AND(#REF!,"AAAAAH3X/zA=")</f>
        <v>#REF!</v>
      </c>
      <c r="AX3" t="e">
        <f>AND(#REF!,"AAAAAH3X/zE=")</f>
        <v>#REF!</v>
      </c>
      <c r="AY3" t="e">
        <f>AND(#REF!,"AAAAAH3X/zI=")</f>
        <v>#REF!</v>
      </c>
      <c r="AZ3" t="e">
        <f>AND(#REF!,"AAAAAH3X/zM=")</f>
        <v>#REF!</v>
      </c>
      <c r="BA3" t="e">
        <f>AND(#REF!,"AAAAAH3X/zQ=")</f>
        <v>#REF!</v>
      </c>
      <c r="BB3" t="e">
        <f>IF(#REF!,"AAAAAH3X/zU=",0)</f>
        <v>#REF!</v>
      </c>
      <c r="BC3" t="e">
        <f>AND(#REF!,"AAAAAH3X/zY=")</f>
        <v>#REF!</v>
      </c>
      <c r="BD3" t="e">
        <f>AND(#REF!,"AAAAAH3X/zc=")</f>
        <v>#REF!</v>
      </c>
      <c r="BE3" t="e">
        <f>AND(#REF!,"AAAAAH3X/zg=")</f>
        <v>#REF!</v>
      </c>
      <c r="BF3" t="e">
        <f>AND(#REF!,"AAAAAH3X/zk=")</f>
        <v>#REF!</v>
      </c>
      <c r="BG3" t="e">
        <f>AND(#REF!,"AAAAAH3X/zo=")</f>
        <v>#REF!</v>
      </c>
      <c r="BH3" t="e">
        <f>AND(#REF!,"AAAAAH3X/zs=")</f>
        <v>#REF!</v>
      </c>
      <c r="BI3" t="e">
        <f>AND(#REF!,"AAAAAH3X/zw=")</f>
        <v>#REF!</v>
      </c>
      <c r="BJ3" t="e">
        <f>AND(#REF!,"AAAAAH3X/z0=")</f>
        <v>#REF!</v>
      </c>
      <c r="BK3" t="e">
        <f>AND(#REF!,"AAAAAH3X/z4=")</f>
        <v>#REF!</v>
      </c>
      <c r="BL3" t="e">
        <f>AND(#REF!,"AAAAAH3X/z8=")</f>
        <v>#REF!</v>
      </c>
      <c r="BM3" t="e">
        <f>AND(#REF!,"AAAAAH3X/0A=")</f>
        <v>#REF!</v>
      </c>
      <c r="BN3" t="e">
        <f>AND(#REF!,"AAAAAH3X/0E=")</f>
        <v>#REF!</v>
      </c>
      <c r="BO3" t="e">
        <f>AND(#REF!,"AAAAAH3X/0I=")</f>
        <v>#REF!</v>
      </c>
      <c r="BP3" t="e">
        <f>IF(#REF!,"AAAAAH3X/0M=",0)</f>
        <v>#REF!</v>
      </c>
      <c r="BQ3" t="e">
        <f>AND(#REF!,"AAAAAH3X/0Q=")</f>
        <v>#REF!</v>
      </c>
      <c r="BR3" t="e">
        <f>AND(#REF!,"AAAAAH3X/0U=")</f>
        <v>#REF!</v>
      </c>
      <c r="BS3" t="e">
        <f>AND(#REF!,"AAAAAH3X/0Y=")</f>
        <v>#REF!</v>
      </c>
      <c r="BT3" t="e">
        <f>AND(#REF!,"AAAAAH3X/0c=")</f>
        <v>#REF!</v>
      </c>
      <c r="BU3" t="e">
        <f>AND(#REF!,"AAAAAH3X/0g=")</f>
        <v>#REF!</v>
      </c>
      <c r="BV3" t="e">
        <f>AND(#REF!,"AAAAAH3X/0k=")</f>
        <v>#REF!</v>
      </c>
      <c r="BW3" t="e">
        <f>AND(#REF!,"AAAAAH3X/0o=")</f>
        <v>#REF!</v>
      </c>
      <c r="BX3" t="e">
        <f>AND(#REF!,"AAAAAH3X/0s=")</f>
        <v>#REF!</v>
      </c>
      <c r="BY3" t="e">
        <f>AND(#REF!,"AAAAAH3X/0w=")</f>
        <v>#REF!</v>
      </c>
      <c r="BZ3" t="e">
        <f>AND(#REF!,"AAAAAH3X/00=")</f>
        <v>#REF!</v>
      </c>
      <c r="CA3" t="e">
        <f>AND(#REF!,"AAAAAH3X/04=")</f>
        <v>#REF!</v>
      </c>
      <c r="CB3" t="e">
        <f>AND(#REF!,"AAAAAH3X/08=")</f>
        <v>#REF!</v>
      </c>
      <c r="CC3" t="e">
        <f>AND(#REF!,"AAAAAH3X/1A=")</f>
        <v>#REF!</v>
      </c>
      <c r="CD3" t="e">
        <f>IF(#REF!,"AAAAAH3X/1E=",0)</f>
        <v>#REF!</v>
      </c>
      <c r="CE3" t="e">
        <f>AND(#REF!,"AAAAAH3X/1I=")</f>
        <v>#REF!</v>
      </c>
      <c r="CF3" t="e">
        <f>AND(#REF!,"AAAAAH3X/1M=")</f>
        <v>#REF!</v>
      </c>
      <c r="CG3" t="e">
        <f>AND(#REF!,"AAAAAH3X/1Q=")</f>
        <v>#REF!</v>
      </c>
      <c r="CH3" t="e">
        <f>AND(#REF!,"AAAAAH3X/1U=")</f>
        <v>#REF!</v>
      </c>
      <c r="CI3" t="e">
        <f>AND(#REF!,"AAAAAH3X/1Y=")</f>
        <v>#REF!</v>
      </c>
      <c r="CJ3" t="e">
        <f>AND(#REF!,"AAAAAH3X/1c=")</f>
        <v>#REF!</v>
      </c>
      <c r="CK3" t="e">
        <f>AND(#REF!,"AAAAAH3X/1g=")</f>
        <v>#REF!</v>
      </c>
      <c r="CL3" t="e">
        <f>AND(#REF!,"AAAAAH3X/1k=")</f>
        <v>#REF!</v>
      </c>
      <c r="CM3" t="e">
        <f>AND(#REF!,"AAAAAH3X/1o=")</f>
        <v>#REF!</v>
      </c>
      <c r="CN3" t="e">
        <f>AND(#REF!,"AAAAAH3X/1s=")</f>
        <v>#REF!</v>
      </c>
      <c r="CO3" t="e">
        <f>AND(#REF!,"AAAAAH3X/1w=")</f>
        <v>#REF!</v>
      </c>
      <c r="CP3" t="e">
        <f>AND(#REF!,"AAAAAH3X/10=")</f>
        <v>#REF!</v>
      </c>
      <c r="CQ3" t="e">
        <f>AND(#REF!,"AAAAAH3X/14=")</f>
        <v>#REF!</v>
      </c>
      <c r="CR3" t="e">
        <f>IF(#REF!,"AAAAAH3X/18=",0)</f>
        <v>#REF!</v>
      </c>
      <c r="CS3" t="e">
        <f>AND(#REF!,"AAAAAH3X/2A=")</f>
        <v>#REF!</v>
      </c>
      <c r="CT3" t="e">
        <f>AND(#REF!,"AAAAAH3X/2E=")</f>
        <v>#REF!</v>
      </c>
      <c r="CU3" t="e">
        <f>AND(#REF!,"AAAAAH3X/2I=")</f>
        <v>#REF!</v>
      </c>
      <c r="CV3" t="e">
        <f>AND(#REF!,"AAAAAH3X/2M=")</f>
        <v>#REF!</v>
      </c>
      <c r="CW3" t="e">
        <f>AND(#REF!,"AAAAAH3X/2Q=")</f>
        <v>#REF!</v>
      </c>
      <c r="CX3" t="e">
        <f>AND(#REF!,"AAAAAH3X/2U=")</f>
        <v>#REF!</v>
      </c>
      <c r="CY3" t="e">
        <f>AND(#REF!,"AAAAAH3X/2Y=")</f>
        <v>#REF!</v>
      </c>
      <c r="CZ3" t="e">
        <f>AND(#REF!,"AAAAAH3X/2c=")</f>
        <v>#REF!</v>
      </c>
      <c r="DA3" t="e">
        <f>AND(#REF!,"AAAAAH3X/2g=")</f>
        <v>#REF!</v>
      </c>
      <c r="DB3" t="e">
        <f>AND(#REF!,"AAAAAH3X/2k=")</f>
        <v>#REF!</v>
      </c>
      <c r="DC3" t="e">
        <f>AND(#REF!,"AAAAAH3X/2o=")</f>
        <v>#REF!</v>
      </c>
      <c r="DD3" t="e">
        <f>AND(#REF!,"AAAAAH3X/2s=")</f>
        <v>#REF!</v>
      </c>
      <c r="DE3" t="e">
        <f>AND(#REF!,"AAAAAH3X/2w=")</f>
        <v>#REF!</v>
      </c>
      <c r="DF3" t="e">
        <f>IF(#REF!,"AAAAAH3X/20=",0)</f>
        <v>#REF!</v>
      </c>
      <c r="DG3" t="e">
        <f>AND(#REF!,"AAAAAH3X/24=")</f>
        <v>#REF!</v>
      </c>
      <c r="DH3" t="e">
        <f>AND(#REF!,"AAAAAH3X/28=")</f>
        <v>#REF!</v>
      </c>
      <c r="DI3" t="e">
        <f>AND(#REF!,"AAAAAH3X/3A=")</f>
        <v>#REF!</v>
      </c>
      <c r="DJ3" t="e">
        <f>AND(#REF!,"AAAAAH3X/3E=")</f>
        <v>#REF!</v>
      </c>
      <c r="DK3" t="e">
        <f>AND(#REF!,"AAAAAH3X/3I=")</f>
        <v>#REF!</v>
      </c>
      <c r="DL3" t="e">
        <f>AND(#REF!,"AAAAAH3X/3M=")</f>
        <v>#REF!</v>
      </c>
      <c r="DM3" t="e">
        <f>AND(#REF!,"AAAAAH3X/3Q=")</f>
        <v>#REF!</v>
      </c>
      <c r="DN3" t="e">
        <f>AND(#REF!,"AAAAAH3X/3U=")</f>
        <v>#REF!</v>
      </c>
      <c r="DO3" t="e">
        <f>AND(#REF!,"AAAAAH3X/3Y=")</f>
        <v>#REF!</v>
      </c>
      <c r="DP3" t="e">
        <f>AND(#REF!,"AAAAAH3X/3c=")</f>
        <v>#REF!</v>
      </c>
      <c r="DQ3" t="e">
        <f>AND(#REF!,"AAAAAH3X/3g=")</f>
        <v>#REF!</v>
      </c>
      <c r="DR3" t="e">
        <f>AND(#REF!,"AAAAAH3X/3k=")</f>
        <v>#REF!</v>
      </c>
      <c r="DS3" t="e">
        <f>AND(#REF!,"AAAAAH3X/3o=")</f>
        <v>#REF!</v>
      </c>
      <c r="DT3" t="e">
        <f>IF(#REF!,"AAAAAH3X/3s=",0)</f>
        <v>#REF!</v>
      </c>
      <c r="DU3" t="e">
        <f>AND(#REF!,"AAAAAH3X/3w=")</f>
        <v>#REF!</v>
      </c>
      <c r="DV3" t="e">
        <f>AND(#REF!,"AAAAAH3X/30=")</f>
        <v>#REF!</v>
      </c>
      <c r="DW3" t="e">
        <f>AND(#REF!,"AAAAAH3X/34=")</f>
        <v>#REF!</v>
      </c>
      <c r="DX3" t="e">
        <f>AND(#REF!,"AAAAAH3X/38=")</f>
        <v>#REF!</v>
      </c>
      <c r="DY3" t="e">
        <f>AND(#REF!,"AAAAAH3X/4A=")</f>
        <v>#REF!</v>
      </c>
      <c r="DZ3" t="e">
        <f>AND(#REF!,"AAAAAH3X/4E=")</f>
        <v>#REF!</v>
      </c>
      <c r="EA3" t="e">
        <f>AND(#REF!,"AAAAAH3X/4I=")</f>
        <v>#REF!</v>
      </c>
      <c r="EB3" t="e">
        <f>AND(#REF!,"AAAAAH3X/4M=")</f>
        <v>#REF!</v>
      </c>
      <c r="EC3" t="e">
        <f>AND(#REF!,"AAAAAH3X/4Q=")</f>
        <v>#REF!</v>
      </c>
      <c r="ED3" t="e">
        <f>AND(#REF!,"AAAAAH3X/4U=")</f>
        <v>#REF!</v>
      </c>
      <c r="EE3" t="e">
        <f>AND(#REF!,"AAAAAH3X/4Y=")</f>
        <v>#REF!</v>
      </c>
      <c r="EF3" t="e">
        <f>AND(#REF!,"AAAAAH3X/4c=")</f>
        <v>#REF!</v>
      </c>
      <c r="EG3" t="e">
        <f>AND(#REF!,"AAAAAH3X/4g=")</f>
        <v>#REF!</v>
      </c>
      <c r="EH3" t="e">
        <f>IF(#REF!,"AAAAAH3X/4k=",0)</f>
        <v>#REF!</v>
      </c>
      <c r="EI3" t="e">
        <f>AND(#REF!,"AAAAAH3X/4o=")</f>
        <v>#REF!</v>
      </c>
      <c r="EJ3" t="e">
        <f>AND(#REF!,"AAAAAH3X/4s=")</f>
        <v>#REF!</v>
      </c>
      <c r="EK3" t="e">
        <f>AND(#REF!,"AAAAAH3X/4w=")</f>
        <v>#REF!</v>
      </c>
      <c r="EL3" t="e">
        <f>AND(#REF!,"AAAAAH3X/40=")</f>
        <v>#REF!</v>
      </c>
      <c r="EM3" t="e">
        <f>AND(#REF!,"AAAAAH3X/44=")</f>
        <v>#REF!</v>
      </c>
      <c r="EN3" t="e">
        <f>AND(#REF!,"AAAAAH3X/48=")</f>
        <v>#REF!</v>
      </c>
      <c r="EO3" t="e">
        <f>AND(#REF!,"AAAAAH3X/5A=")</f>
        <v>#REF!</v>
      </c>
      <c r="EP3" t="e">
        <f>AND(#REF!,"AAAAAH3X/5E=")</f>
        <v>#REF!</v>
      </c>
      <c r="EQ3" t="e">
        <f>AND(#REF!,"AAAAAH3X/5I=")</f>
        <v>#REF!</v>
      </c>
      <c r="ER3" t="e">
        <f>AND(#REF!,"AAAAAH3X/5M=")</f>
        <v>#REF!</v>
      </c>
      <c r="ES3" t="e">
        <f>AND(#REF!,"AAAAAH3X/5Q=")</f>
        <v>#REF!</v>
      </c>
      <c r="ET3" t="e">
        <f>AND(#REF!,"AAAAAH3X/5U=")</f>
        <v>#REF!</v>
      </c>
      <c r="EU3" t="e">
        <f>AND(#REF!,"AAAAAH3X/5Y=")</f>
        <v>#REF!</v>
      </c>
      <c r="EV3" t="e">
        <f>IF(#REF!,"AAAAAH3X/5c=",0)</f>
        <v>#REF!</v>
      </c>
      <c r="EW3" t="e">
        <f>AND(#REF!,"AAAAAH3X/5g=")</f>
        <v>#REF!</v>
      </c>
      <c r="EX3" t="e">
        <f>AND(#REF!,"AAAAAH3X/5k=")</f>
        <v>#REF!</v>
      </c>
      <c r="EY3" t="e">
        <f>AND(#REF!,"AAAAAH3X/5o=")</f>
        <v>#REF!</v>
      </c>
      <c r="EZ3" t="e">
        <f>AND(#REF!,"AAAAAH3X/5s=")</f>
        <v>#REF!</v>
      </c>
      <c r="FA3" t="e">
        <f>AND(#REF!,"AAAAAH3X/5w=")</f>
        <v>#REF!</v>
      </c>
      <c r="FB3" t="e">
        <f>AND(#REF!,"AAAAAH3X/50=")</f>
        <v>#REF!</v>
      </c>
      <c r="FC3" t="e">
        <f>AND(#REF!,"AAAAAH3X/54=")</f>
        <v>#REF!</v>
      </c>
      <c r="FD3" t="e">
        <f>AND(#REF!,"AAAAAH3X/58=")</f>
        <v>#REF!</v>
      </c>
      <c r="FE3" t="e">
        <f>AND(#REF!,"AAAAAH3X/6A=")</f>
        <v>#REF!</v>
      </c>
      <c r="FF3" t="e">
        <f>AND(#REF!,"AAAAAH3X/6E=")</f>
        <v>#REF!</v>
      </c>
      <c r="FG3" t="e">
        <f>AND(#REF!,"AAAAAH3X/6I=")</f>
        <v>#REF!</v>
      </c>
      <c r="FH3" t="e">
        <f>AND(#REF!,"AAAAAH3X/6M=")</f>
        <v>#REF!</v>
      </c>
      <c r="FI3" t="e">
        <f>AND(#REF!,"AAAAAH3X/6Q=")</f>
        <v>#REF!</v>
      </c>
      <c r="FJ3" t="e">
        <f>IF(#REF!,"AAAAAH3X/6U=",0)</f>
        <v>#REF!</v>
      </c>
      <c r="FK3" t="e">
        <f>AND(#REF!,"AAAAAH3X/6Y=")</f>
        <v>#REF!</v>
      </c>
      <c r="FL3" t="e">
        <f>AND(#REF!,"AAAAAH3X/6c=")</f>
        <v>#REF!</v>
      </c>
      <c r="FM3" t="e">
        <f>AND(#REF!,"AAAAAH3X/6g=")</f>
        <v>#REF!</v>
      </c>
      <c r="FN3" t="e">
        <f>AND(#REF!,"AAAAAH3X/6k=")</f>
        <v>#REF!</v>
      </c>
      <c r="FO3" t="e">
        <f>AND(#REF!,"AAAAAH3X/6o=")</f>
        <v>#REF!</v>
      </c>
      <c r="FP3" t="e">
        <f>AND(#REF!,"AAAAAH3X/6s=")</f>
        <v>#REF!</v>
      </c>
      <c r="FQ3" t="e">
        <f>AND(#REF!,"AAAAAH3X/6w=")</f>
        <v>#REF!</v>
      </c>
      <c r="FR3" t="e">
        <f>AND(#REF!,"AAAAAH3X/60=")</f>
        <v>#REF!</v>
      </c>
      <c r="FS3" t="e">
        <f>AND(#REF!,"AAAAAH3X/64=")</f>
        <v>#REF!</v>
      </c>
      <c r="FT3" t="e">
        <f>AND(#REF!,"AAAAAH3X/68=")</f>
        <v>#REF!</v>
      </c>
      <c r="FU3" t="e">
        <f>AND(#REF!,"AAAAAH3X/7A=")</f>
        <v>#REF!</v>
      </c>
      <c r="FV3" t="e">
        <f>AND(#REF!,"AAAAAH3X/7E=")</f>
        <v>#REF!</v>
      </c>
      <c r="FW3" t="e">
        <f>AND(#REF!,"AAAAAH3X/7I=")</f>
        <v>#REF!</v>
      </c>
      <c r="FX3" t="e">
        <f>IF(#REF!,"AAAAAH3X/7M=",0)</f>
        <v>#REF!</v>
      </c>
      <c r="FY3" t="e">
        <f>AND(#REF!,"AAAAAH3X/7Q=")</f>
        <v>#REF!</v>
      </c>
      <c r="FZ3" t="e">
        <f>AND(#REF!,"AAAAAH3X/7U=")</f>
        <v>#REF!</v>
      </c>
      <c r="GA3" t="e">
        <f>AND(#REF!,"AAAAAH3X/7Y=")</f>
        <v>#REF!</v>
      </c>
      <c r="GB3" t="e">
        <f>AND(#REF!,"AAAAAH3X/7c=")</f>
        <v>#REF!</v>
      </c>
      <c r="GC3" t="e">
        <f>AND(#REF!,"AAAAAH3X/7g=")</f>
        <v>#REF!</v>
      </c>
      <c r="GD3" t="e">
        <f>AND(#REF!,"AAAAAH3X/7k=")</f>
        <v>#REF!</v>
      </c>
      <c r="GE3" t="e">
        <f>AND(#REF!,"AAAAAH3X/7o=")</f>
        <v>#REF!</v>
      </c>
      <c r="GF3" t="e">
        <f>AND(#REF!,"AAAAAH3X/7s=")</f>
        <v>#REF!</v>
      </c>
      <c r="GG3" t="e">
        <f>AND(#REF!,"AAAAAH3X/7w=")</f>
        <v>#REF!</v>
      </c>
      <c r="GH3" t="e">
        <f>AND(#REF!,"AAAAAH3X/70=")</f>
        <v>#REF!</v>
      </c>
      <c r="GI3" t="e">
        <f>AND(#REF!,"AAAAAH3X/74=")</f>
        <v>#REF!</v>
      </c>
      <c r="GJ3" t="e">
        <f>AND(#REF!,"AAAAAH3X/78=")</f>
        <v>#REF!</v>
      </c>
      <c r="GK3" t="e">
        <f>AND(#REF!,"AAAAAH3X/8A=")</f>
        <v>#REF!</v>
      </c>
      <c r="GL3" t="e">
        <f>IF(#REF!,"AAAAAH3X/8E=",0)</f>
        <v>#REF!</v>
      </c>
      <c r="GM3" t="e">
        <f>AND(#REF!,"AAAAAH3X/8I=")</f>
        <v>#REF!</v>
      </c>
      <c r="GN3" t="e">
        <f>AND(#REF!,"AAAAAH3X/8M=")</f>
        <v>#REF!</v>
      </c>
      <c r="GO3" t="e">
        <f>AND(#REF!,"AAAAAH3X/8Q=")</f>
        <v>#REF!</v>
      </c>
      <c r="GP3" t="e">
        <f>AND(#REF!,"AAAAAH3X/8U=")</f>
        <v>#REF!</v>
      </c>
      <c r="GQ3" t="e">
        <f>AND(#REF!,"AAAAAH3X/8Y=")</f>
        <v>#REF!</v>
      </c>
      <c r="GR3" t="e">
        <f>AND(#REF!,"AAAAAH3X/8c=")</f>
        <v>#REF!</v>
      </c>
      <c r="GS3" t="e">
        <f>AND(#REF!,"AAAAAH3X/8g=")</f>
        <v>#REF!</v>
      </c>
      <c r="GT3" t="e">
        <f>AND(#REF!,"AAAAAH3X/8k=")</f>
        <v>#REF!</v>
      </c>
      <c r="GU3" t="e">
        <f>AND(#REF!,"AAAAAH3X/8o=")</f>
        <v>#REF!</v>
      </c>
      <c r="GV3" t="e">
        <f>AND(#REF!,"AAAAAH3X/8s=")</f>
        <v>#REF!</v>
      </c>
      <c r="GW3" t="e">
        <f>AND(#REF!,"AAAAAH3X/8w=")</f>
        <v>#REF!</v>
      </c>
      <c r="GX3" t="e">
        <f>AND(#REF!,"AAAAAH3X/80=")</f>
        <v>#REF!</v>
      </c>
      <c r="GY3" t="e">
        <f>AND(#REF!,"AAAAAH3X/84=")</f>
        <v>#REF!</v>
      </c>
      <c r="GZ3" t="e">
        <f>IF(#REF!,"AAAAAH3X/88=",0)</f>
        <v>#REF!</v>
      </c>
      <c r="HA3" t="e">
        <f>AND(#REF!,"AAAAAH3X/9A=")</f>
        <v>#REF!</v>
      </c>
      <c r="HB3" t="e">
        <f>AND(#REF!,"AAAAAH3X/9E=")</f>
        <v>#REF!</v>
      </c>
      <c r="HC3" t="e">
        <f>AND(#REF!,"AAAAAH3X/9I=")</f>
        <v>#REF!</v>
      </c>
      <c r="HD3" t="e">
        <f>AND(#REF!,"AAAAAH3X/9M=")</f>
        <v>#REF!</v>
      </c>
      <c r="HE3" t="e">
        <f>AND(#REF!,"AAAAAH3X/9Q=")</f>
        <v>#REF!</v>
      </c>
      <c r="HF3" t="e">
        <f>AND(#REF!,"AAAAAH3X/9U=")</f>
        <v>#REF!</v>
      </c>
      <c r="HG3" t="e">
        <f>AND(#REF!,"AAAAAH3X/9Y=")</f>
        <v>#REF!</v>
      </c>
      <c r="HH3" t="e">
        <f>AND(#REF!,"AAAAAH3X/9c=")</f>
        <v>#REF!</v>
      </c>
      <c r="HI3" t="e">
        <f>AND(#REF!,"AAAAAH3X/9g=")</f>
        <v>#REF!</v>
      </c>
      <c r="HJ3" t="e">
        <f>AND(#REF!,"AAAAAH3X/9k=")</f>
        <v>#REF!</v>
      </c>
      <c r="HK3" t="e">
        <f>AND(#REF!,"AAAAAH3X/9o=")</f>
        <v>#REF!</v>
      </c>
      <c r="HL3" t="e">
        <f>AND(#REF!,"AAAAAH3X/9s=")</f>
        <v>#REF!</v>
      </c>
      <c r="HM3" t="e">
        <f>AND(#REF!,"AAAAAH3X/9w=")</f>
        <v>#REF!</v>
      </c>
      <c r="HN3" t="e">
        <f>IF(#REF!,"AAAAAH3X/90=",0)</f>
        <v>#REF!</v>
      </c>
      <c r="HO3" t="e">
        <f>AND(#REF!,"AAAAAH3X/94=")</f>
        <v>#REF!</v>
      </c>
      <c r="HP3" t="e">
        <f>AND(#REF!,"AAAAAH3X/98=")</f>
        <v>#REF!</v>
      </c>
      <c r="HQ3" t="e">
        <f>AND(#REF!,"AAAAAH3X/+A=")</f>
        <v>#REF!</v>
      </c>
      <c r="HR3" t="e">
        <f>AND(#REF!,"AAAAAH3X/+E=")</f>
        <v>#REF!</v>
      </c>
      <c r="HS3" t="e">
        <f>AND(#REF!,"AAAAAH3X/+I=")</f>
        <v>#REF!</v>
      </c>
      <c r="HT3" t="e">
        <f>AND(#REF!,"AAAAAH3X/+M=")</f>
        <v>#REF!</v>
      </c>
      <c r="HU3" t="e">
        <f>AND(#REF!,"AAAAAH3X/+Q=")</f>
        <v>#REF!</v>
      </c>
      <c r="HV3" t="e">
        <f>AND(#REF!,"AAAAAH3X/+U=")</f>
        <v>#REF!</v>
      </c>
      <c r="HW3" t="e">
        <f>AND(#REF!,"AAAAAH3X/+Y=")</f>
        <v>#REF!</v>
      </c>
      <c r="HX3" t="e">
        <f>AND(#REF!,"AAAAAH3X/+c=")</f>
        <v>#REF!</v>
      </c>
      <c r="HY3" t="e">
        <f>AND(#REF!,"AAAAAH3X/+g=")</f>
        <v>#REF!</v>
      </c>
      <c r="HZ3" t="e">
        <f>AND(#REF!,"AAAAAH3X/+k=")</f>
        <v>#REF!</v>
      </c>
      <c r="IA3" t="e">
        <f>AND(#REF!,"AAAAAH3X/+o=")</f>
        <v>#REF!</v>
      </c>
      <c r="IB3" t="e">
        <f>IF(#REF!,"AAAAAH3X/+s=",0)</f>
        <v>#REF!</v>
      </c>
      <c r="IC3" t="e">
        <f>AND(#REF!,"AAAAAH3X/+w=")</f>
        <v>#REF!</v>
      </c>
      <c r="ID3" t="e">
        <f>AND(#REF!,"AAAAAH3X/+0=")</f>
        <v>#REF!</v>
      </c>
      <c r="IE3" t="e">
        <f>AND(#REF!,"AAAAAH3X/+4=")</f>
        <v>#REF!</v>
      </c>
      <c r="IF3" t="e">
        <f>AND(#REF!,"AAAAAH3X/+8=")</f>
        <v>#REF!</v>
      </c>
      <c r="IG3" t="e">
        <f>AND(#REF!,"AAAAAH3X//A=")</f>
        <v>#REF!</v>
      </c>
      <c r="IH3" t="e">
        <f>AND(#REF!,"AAAAAH3X//E=")</f>
        <v>#REF!</v>
      </c>
      <c r="II3" t="e">
        <f>AND(#REF!,"AAAAAH3X//I=")</f>
        <v>#REF!</v>
      </c>
      <c r="IJ3" t="e">
        <f>AND(#REF!,"AAAAAH3X//M=")</f>
        <v>#REF!</v>
      </c>
      <c r="IK3" t="e">
        <f>AND(#REF!,"AAAAAH3X//Q=")</f>
        <v>#REF!</v>
      </c>
      <c r="IL3" t="e">
        <f>AND(#REF!,"AAAAAH3X//U=")</f>
        <v>#REF!</v>
      </c>
      <c r="IM3" t="e">
        <f>AND(#REF!,"AAAAAH3X//Y=")</f>
        <v>#REF!</v>
      </c>
      <c r="IN3" t="e">
        <f>AND(#REF!,"AAAAAH3X//c=")</f>
        <v>#REF!</v>
      </c>
      <c r="IO3" t="e">
        <f>AND(#REF!,"AAAAAH3X//g=")</f>
        <v>#REF!</v>
      </c>
      <c r="IP3" t="e">
        <f>IF(#REF!,"AAAAAH3X//k=",0)</f>
        <v>#REF!</v>
      </c>
      <c r="IQ3" t="e">
        <f>AND(#REF!,"AAAAAH3X//o=")</f>
        <v>#REF!</v>
      </c>
      <c r="IR3" t="e">
        <f>AND(#REF!,"AAAAAH3X//s=")</f>
        <v>#REF!</v>
      </c>
      <c r="IS3" t="e">
        <f>AND(#REF!,"AAAAAH3X//w=")</f>
        <v>#REF!</v>
      </c>
      <c r="IT3" t="e">
        <f>AND(#REF!,"AAAAAH3X//0=")</f>
        <v>#REF!</v>
      </c>
      <c r="IU3" t="e">
        <f>AND(#REF!,"AAAAAH3X//4=")</f>
        <v>#REF!</v>
      </c>
      <c r="IV3" t="e">
        <f>AND(#REF!,"AAAAAH3X//8=")</f>
        <v>#REF!</v>
      </c>
    </row>
    <row r="4" spans="1:256" x14ac:dyDescent="0.2">
      <c r="A4" t="e">
        <f>AND(#REF!,"AAAAAG+bOwA=")</f>
        <v>#REF!</v>
      </c>
      <c r="B4" t="e">
        <f>AND(#REF!,"AAAAAG+bOwE=")</f>
        <v>#REF!</v>
      </c>
      <c r="C4" t="e">
        <f>AND(#REF!,"AAAAAG+bOwI=")</f>
        <v>#REF!</v>
      </c>
      <c r="D4" t="e">
        <f>AND(#REF!,"AAAAAG+bOwM=")</f>
        <v>#REF!</v>
      </c>
      <c r="E4" t="e">
        <f>AND(#REF!,"AAAAAG+bOwQ=")</f>
        <v>#REF!</v>
      </c>
      <c r="F4" t="e">
        <f>AND(#REF!,"AAAAAG+bOwU=")</f>
        <v>#REF!</v>
      </c>
      <c r="G4" t="e">
        <f>AND(#REF!,"AAAAAG+bOwY=")</f>
        <v>#REF!</v>
      </c>
      <c r="H4" t="e">
        <f>IF(#REF!,"AAAAAG+bOwc=",0)</f>
        <v>#REF!</v>
      </c>
      <c r="I4" t="e">
        <f>AND(#REF!,"AAAAAG+bOwg=")</f>
        <v>#REF!</v>
      </c>
      <c r="J4" t="e">
        <f>AND(#REF!,"AAAAAG+bOwk=")</f>
        <v>#REF!</v>
      </c>
      <c r="K4" t="e">
        <f>AND(#REF!,"AAAAAG+bOwo=")</f>
        <v>#REF!</v>
      </c>
      <c r="L4" t="e">
        <f>AND(#REF!,"AAAAAG+bOws=")</f>
        <v>#REF!</v>
      </c>
      <c r="M4" t="e">
        <f>AND(#REF!,"AAAAAG+bOww=")</f>
        <v>#REF!</v>
      </c>
      <c r="N4" t="e">
        <f>AND(#REF!,"AAAAAG+bOw0=")</f>
        <v>#REF!</v>
      </c>
      <c r="O4" t="e">
        <f>AND(#REF!,"AAAAAG+bOw4=")</f>
        <v>#REF!</v>
      </c>
      <c r="P4" t="e">
        <f>AND(#REF!,"AAAAAG+bOw8=")</f>
        <v>#REF!</v>
      </c>
      <c r="Q4" t="e">
        <f>AND(#REF!,"AAAAAG+bOxA=")</f>
        <v>#REF!</v>
      </c>
      <c r="R4" t="e">
        <f>AND(#REF!,"AAAAAG+bOxE=")</f>
        <v>#REF!</v>
      </c>
      <c r="S4" t="e">
        <f>AND(#REF!,"AAAAAG+bOxI=")</f>
        <v>#REF!</v>
      </c>
      <c r="T4" t="e">
        <f>AND(#REF!,"AAAAAG+bOxM=")</f>
        <v>#REF!</v>
      </c>
      <c r="U4" t="e">
        <f>AND(#REF!,"AAAAAG+bOxQ=")</f>
        <v>#REF!</v>
      </c>
      <c r="V4" t="e">
        <f>IF(#REF!,"AAAAAG+bOxU=",0)</f>
        <v>#REF!</v>
      </c>
      <c r="W4" t="e">
        <f>AND(#REF!,"AAAAAG+bOxY=")</f>
        <v>#REF!</v>
      </c>
      <c r="X4" t="e">
        <f>AND(#REF!,"AAAAAG+bOxc=")</f>
        <v>#REF!</v>
      </c>
      <c r="Y4" t="e">
        <f>AND(#REF!,"AAAAAG+bOxg=")</f>
        <v>#REF!</v>
      </c>
      <c r="Z4" t="e">
        <f>AND(#REF!,"AAAAAG+bOxk=")</f>
        <v>#REF!</v>
      </c>
      <c r="AA4" t="e">
        <f>AND(#REF!,"AAAAAG+bOxo=")</f>
        <v>#REF!</v>
      </c>
      <c r="AB4" t="e">
        <f>AND(#REF!,"AAAAAG+bOxs=")</f>
        <v>#REF!</v>
      </c>
      <c r="AC4" t="e">
        <f>AND(#REF!,"AAAAAG+bOxw=")</f>
        <v>#REF!</v>
      </c>
      <c r="AD4" t="e">
        <f>AND(#REF!,"AAAAAG+bOx0=")</f>
        <v>#REF!</v>
      </c>
      <c r="AE4" t="e">
        <f>AND(#REF!,"AAAAAG+bOx4=")</f>
        <v>#REF!</v>
      </c>
      <c r="AF4" t="e">
        <f>AND(#REF!,"AAAAAG+bOx8=")</f>
        <v>#REF!</v>
      </c>
      <c r="AG4" t="e">
        <f>AND(#REF!,"AAAAAG+bOyA=")</f>
        <v>#REF!</v>
      </c>
      <c r="AH4" t="e">
        <f>AND(#REF!,"AAAAAG+bOyE=")</f>
        <v>#REF!</v>
      </c>
      <c r="AI4" t="e">
        <f>AND(#REF!,"AAAAAG+bOyI=")</f>
        <v>#REF!</v>
      </c>
      <c r="AJ4" t="e">
        <f>IF(#REF!,"AAAAAG+bOyM=",0)</f>
        <v>#REF!</v>
      </c>
      <c r="AK4" t="e">
        <f>AND(#REF!,"AAAAAG+bOyQ=")</f>
        <v>#REF!</v>
      </c>
      <c r="AL4" t="e">
        <f>AND(#REF!,"AAAAAG+bOyU=")</f>
        <v>#REF!</v>
      </c>
      <c r="AM4" t="e">
        <f>AND(#REF!,"AAAAAG+bOyY=")</f>
        <v>#REF!</v>
      </c>
      <c r="AN4" t="e">
        <f>AND(#REF!,"AAAAAG+bOyc=")</f>
        <v>#REF!</v>
      </c>
      <c r="AO4" t="e">
        <f>AND(#REF!,"AAAAAG+bOyg=")</f>
        <v>#REF!</v>
      </c>
      <c r="AP4" t="e">
        <f>AND(#REF!,"AAAAAG+bOyk=")</f>
        <v>#REF!</v>
      </c>
      <c r="AQ4" t="e">
        <f>AND(#REF!,"AAAAAG+bOyo=")</f>
        <v>#REF!</v>
      </c>
      <c r="AR4" t="e">
        <f>AND(#REF!,"AAAAAG+bOys=")</f>
        <v>#REF!</v>
      </c>
      <c r="AS4" t="e">
        <f>AND(#REF!,"AAAAAG+bOyw=")</f>
        <v>#REF!</v>
      </c>
      <c r="AT4" t="e">
        <f>AND(#REF!,"AAAAAG+bOy0=")</f>
        <v>#REF!</v>
      </c>
      <c r="AU4" t="e">
        <f>AND(#REF!,"AAAAAG+bOy4=")</f>
        <v>#REF!</v>
      </c>
      <c r="AV4" t="e">
        <f>AND(#REF!,"AAAAAG+bOy8=")</f>
        <v>#REF!</v>
      </c>
      <c r="AW4" t="e">
        <f>AND(#REF!,"AAAAAG+bOzA=")</f>
        <v>#REF!</v>
      </c>
      <c r="AX4" t="e">
        <f>IF(#REF!,"AAAAAG+bOzE=",0)</f>
        <v>#REF!</v>
      </c>
      <c r="AY4" t="e">
        <f>AND(#REF!,"AAAAAG+bOzI=")</f>
        <v>#REF!</v>
      </c>
      <c r="AZ4" t="e">
        <f>AND(#REF!,"AAAAAG+bOzM=")</f>
        <v>#REF!</v>
      </c>
      <c r="BA4" t="e">
        <f>AND(#REF!,"AAAAAG+bOzQ=")</f>
        <v>#REF!</v>
      </c>
      <c r="BB4" t="e">
        <f>AND(#REF!,"AAAAAG+bOzU=")</f>
        <v>#REF!</v>
      </c>
      <c r="BC4" t="e">
        <f>AND(#REF!,"AAAAAG+bOzY=")</f>
        <v>#REF!</v>
      </c>
      <c r="BD4" t="e">
        <f>AND(#REF!,"AAAAAG+bOzc=")</f>
        <v>#REF!</v>
      </c>
      <c r="BE4" t="e">
        <f>AND(#REF!,"AAAAAG+bOzg=")</f>
        <v>#REF!</v>
      </c>
      <c r="BF4" t="e">
        <f>AND(#REF!,"AAAAAG+bOzk=")</f>
        <v>#REF!</v>
      </c>
      <c r="BG4" t="e">
        <f>AND(#REF!,"AAAAAG+bOzo=")</f>
        <v>#REF!</v>
      </c>
      <c r="BH4" t="e">
        <f>AND(#REF!,"AAAAAG+bOzs=")</f>
        <v>#REF!</v>
      </c>
      <c r="BI4" t="e">
        <f>AND(#REF!,"AAAAAG+bOzw=")</f>
        <v>#REF!</v>
      </c>
      <c r="BJ4" t="e">
        <f>AND(#REF!,"AAAAAG+bOz0=")</f>
        <v>#REF!</v>
      </c>
      <c r="BK4" t="e">
        <f>AND(#REF!,"AAAAAG+bOz4=")</f>
        <v>#REF!</v>
      </c>
      <c r="BL4" t="e">
        <f>IF(#REF!,"AAAAAG+bOz8=",0)</f>
        <v>#REF!</v>
      </c>
      <c r="BM4" t="e">
        <f>AND(#REF!,"AAAAAG+bO0A=")</f>
        <v>#REF!</v>
      </c>
      <c r="BN4" t="e">
        <f>AND(#REF!,"AAAAAG+bO0E=")</f>
        <v>#REF!</v>
      </c>
      <c r="BO4" t="e">
        <f>AND(#REF!,"AAAAAG+bO0I=")</f>
        <v>#REF!</v>
      </c>
      <c r="BP4" t="e">
        <f>AND(#REF!,"AAAAAG+bO0M=")</f>
        <v>#REF!</v>
      </c>
      <c r="BQ4" t="e">
        <f>AND(#REF!,"AAAAAG+bO0Q=")</f>
        <v>#REF!</v>
      </c>
      <c r="BR4" t="e">
        <f>AND(#REF!,"AAAAAG+bO0U=")</f>
        <v>#REF!</v>
      </c>
      <c r="BS4" t="e">
        <f>AND(#REF!,"AAAAAG+bO0Y=")</f>
        <v>#REF!</v>
      </c>
      <c r="BT4" t="e">
        <f>AND(#REF!,"AAAAAG+bO0c=")</f>
        <v>#REF!</v>
      </c>
      <c r="BU4" t="e">
        <f>AND(#REF!,"AAAAAG+bO0g=")</f>
        <v>#REF!</v>
      </c>
      <c r="BV4" t="e">
        <f>AND(#REF!,"AAAAAG+bO0k=")</f>
        <v>#REF!</v>
      </c>
      <c r="BW4" t="e">
        <f>AND(#REF!,"AAAAAG+bO0o=")</f>
        <v>#REF!</v>
      </c>
      <c r="BX4" t="e">
        <f>AND(#REF!,"AAAAAG+bO0s=")</f>
        <v>#REF!</v>
      </c>
      <c r="BY4" t="e">
        <f>AND(#REF!,"AAAAAG+bO0w=")</f>
        <v>#REF!</v>
      </c>
      <c r="BZ4" t="e">
        <f>IF(#REF!,"AAAAAG+bO00=",0)</f>
        <v>#REF!</v>
      </c>
      <c r="CA4" t="e">
        <f>AND(#REF!,"AAAAAG+bO04=")</f>
        <v>#REF!</v>
      </c>
      <c r="CB4" t="e">
        <f>AND(#REF!,"AAAAAG+bO08=")</f>
        <v>#REF!</v>
      </c>
      <c r="CC4" t="e">
        <f>AND(#REF!,"AAAAAG+bO1A=")</f>
        <v>#REF!</v>
      </c>
      <c r="CD4" t="e">
        <f>AND(#REF!,"AAAAAG+bO1E=")</f>
        <v>#REF!</v>
      </c>
      <c r="CE4" t="e">
        <f>AND(#REF!,"AAAAAG+bO1I=")</f>
        <v>#REF!</v>
      </c>
      <c r="CF4" t="e">
        <f>AND(#REF!,"AAAAAG+bO1M=")</f>
        <v>#REF!</v>
      </c>
      <c r="CG4" t="e">
        <f>AND(#REF!,"AAAAAG+bO1Q=")</f>
        <v>#REF!</v>
      </c>
      <c r="CH4" t="e">
        <f>AND(#REF!,"AAAAAG+bO1U=")</f>
        <v>#REF!</v>
      </c>
      <c r="CI4" t="e">
        <f>AND(#REF!,"AAAAAG+bO1Y=")</f>
        <v>#REF!</v>
      </c>
      <c r="CJ4" t="e">
        <f>AND(#REF!,"AAAAAG+bO1c=")</f>
        <v>#REF!</v>
      </c>
      <c r="CK4" t="e">
        <f>AND(#REF!,"AAAAAG+bO1g=")</f>
        <v>#REF!</v>
      </c>
      <c r="CL4" t="e">
        <f>AND(#REF!,"AAAAAG+bO1k=")</f>
        <v>#REF!</v>
      </c>
      <c r="CM4" t="e">
        <f>AND(#REF!,"AAAAAG+bO1o=")</f>
        <v>#REF!</v>
      </c>
      <c r="CN4" t="e">
        <f>IF(#REF!,"AAAAAG+bO1s=",0)</f>
        <v>#REF!</v>
      </c>
      <c r="CO4" t="e">
        <f>AND(#REF!,"AAAAAG+bO1w=")</f>
        <v>#REF!</v>
      </c>
      <c r="CP4" t="e">
        <f>AND(#REF!,"AAAAAG+bO10=")</f>
        <v>#REF!</v>
      </c>
      <c r="CQ4" t="e">
        <f>AND(#REF!,"AAAAAG+bO14=")</f>
        <v>#REF!</v>
      </c>
      <c r="CR4" t="e">
        <f>AND(#REF!,"AAAAAG+bO18=")</f>
        <v>#REF!</v>
      </c>
      <c r="CS4" t="e">
        <f>AND(#REF!,"AAAAAG+bO2A=")</f>
        <v>#REF!</v>
      </c>
      <c r="CT4" t="e">
        <f>AND(#REF!,"AAAAAG+bO2E=")</f>
        <v>#REF!</v>
      </c>
      <c r="CU4" t="e">
        <f>AND(#REF!,"AAAAAG+bO2I=")</f>
        <v>#REF!</v>
      </c>
      <c r="CV4" t="e">
        <f>AND(#REF!,"AAAAAG+bO2M=")</f>
        <v>#REF!</v>
      </c>
      <c r="CW4" t="e">
        <f>AND(#REF!,"AAAAAG+bO2Q=")</f>
        <v>#REF!</v>
      </c>
      <c r="CX4" t="e">
        <f>AND(#REF!,"AAAAAG+bO2U=")</f>
        <v>#REF!</v>
      </c>
      <c r="CY4" t="e">
        <f>AND(#REF!,"AAAAAG+bO2Y=")</f>
        <v>#REF!</v>
      </c>
      <c r="CZ4" t="e">
        <f>AND(#REF!,"AAAAAG+bO2c=")</f>
        <v>#REF!</v>
      </c>
      <c r="DA4" t="e">
        <f>AND(#REF!,"AAAAAG+bO2g=")</f>
        <v>#REF!</v>
      </c>
      <c r="DB4" t="e">
        <f>IF(#REF!,"AAAAAG+bO2k=",0)</f>
        <v>#REF!</v>
      </c>
      <c r="DC4" t="e">
        <f>AND(#REF!,"AAAAAG+bO2o=")</f>
        <v>#REF!</v>
      </c>
      <c r="DD4" t="e">
        <f>AND(#REF!,"AAAAAG+bO2s=")</f>
        <v>#REF!</v>
      </c>
      <c r="DE4" t="e">
        <f>AND(#REF!,"AAAAAG+bO2w=")</f>
        <v>#REF!</v>
      </c>
      <c r="DF4" t="e">
        <f>AND(#REF!,"AAAAAG+bO20=")</f>
        <v>#REF!</v>
      </c>
      <c r="DG4" t="e">
        <f>AND(#REF!,"AAAAAG+bO24=")</f>
        <v>#REF!</v>
      </c>
      <c r="DH4" t="e">
        <f>AND(#REF!,"AAAAAG+bO28=")</f>
        <v>#REF!</v>
      </c>
      <c r="DI4" t="e">
        <f>AND(#REF!,"AAAAAG+bO3A=")</f>
        <v>#REF!</v>
      </c>
      <c r="DJ4" t="e">
        <f>AND(#REF!,"AAAAAG+bO3E=")</f>
        <v>#REF!</v>
      </c>
      <c r="DK4" t="e">
        <f>AND(#REF!,"AAAAAG+bO3I=")</f>
        <v>#REF!</v>
      </c>
      <c r="DL4" t="e">
        <f>AND(#REF!,"AAAAAG+bO3M=")</f>
        <v>#REF!</v>
      </c>
      <c r="DM4" t="e">
        <f>AND(#REF!,"AAAAAG+bO3Q=")</f>
        <v>#REF!</v>
      </c>
      <c r="DN4" t="e">
        <f>AND(#REF!,"AAAAAG+bO3U=")</f>
        <v>#REF!</v>
      </c>
      <c r="DO4" t="e">
        <f>AND(#REF!,"AAAAAG+bO3Y=")</f>
        <v>#REF!</v>
      </c>
      <c r="DP4" t="e">
        <f>IF(#REF!,"AAAAAG+bO3c=",0)</f>
        <v>#REF!</v>
      </c>
      <c r="DQ4" t="e">
        <f>AND(#REF!,"AAAAAG+bO3g=")</f>
        <v>#REF!</v>
      </c>
      <c r="DR4" t="e">
        <f>AND(#REF!,"AAAAAG+bO3k=")</f>
        <v>#REF!</v>
      </c>
      <c r="DS4" t="e">
        <f>AND(#REF!,"AAAAAG+bO3o=")</f>
        <v>#REF!</v>
      </c>
      <c r="DT4" t="e">
        <f>AND(#REF!,"AAAAAG+bO3s=")</f>
        <v>#REF!</v>
      </c>
      <c r="DU4" t="e">
        <f>AND(#REF!,"AAAAAG+bO3w=")</f>
        <v>#REF!</v>
      </c>
      <c r="DV4" t="e">
        <f>AND(#REF!,"AAAAAG+bO30=")</f>
        <v>#REF!</v>
      </c>
      <c r="DW4" t="e">
        <f>AND(#REF!,"AAAAAG+bO34=")</f>
        <v>#REF!</v>
      </c>
      <c r="DX4" t="e">
        <f>AND(#REF!,"AAAAAG+bO38=")</f>
        <v>#REF!</v>
      </c>
      <c r="DY4" t="e">
        <f>AND(#REF!,"AAAAAG+bO4A=")</f>
        <v>#REF!</v>
      </c>
      <c r="DZ4" t="e">
        <f>AND(#REF!,"AAAAAG+bO4E=")</f>
        <v>#REF!</v>
      </c>
      <c r="EA4" t="e">
        <f>AND(#REF!,"AAAAAG+bO4I=")</f>
        <v>#REF!</v>
      </c>
      <c r="EB4" t="e">
        <f>AND(#REF!,"AAAAAG+bO4M=")</f>
        <v>#REF!</v>
      </c>
      <c r="EC4" t="e">
        <f>AND(#REF!,"AAAAAG+bO4Q=")</f>
        <v>#REF!</v>
      </c>
      <c r="ED4" t="e">
        <f>IF(#REF!,"AAAAAG+bO4U=",0)</f>
        <v>#REF!</v>
      </c>
      <c r="EE4" t="e">
        <f>AND(#REF!,"AAAAAG+bO4Y=")</f>
        <v>#REF!</v>
      </c>
      <c r="EF4" t="e">
        <f>AND(#REF!,"AAAAAG+bO4c=")</f>
        <v>#REF!</v>
      </c>
      <c r="EG4" t="e">
        <f>AND(#REF!,"AAAAAG+bO4g=")</f>
        <v>#REF!</v>
      </c>
      <c r="EH4" t="e">
        <f>AND(#REF!,"AAAAAG+bO4k=")</f>
        <v>#REF!</v>
      </c>
      <c r="EI4" t="e">
        <f>AND(#REF!,"AAAAAG+bO4o=")</f>
        <v>#REF!</v>
      </c>
      <c r="EJ4" t="e">
        <f>AND(#REF!,"AAAAAG+bO4s=")</f>
        <v>#REF!</v>
      </c>
      <c r="EK4" t="e">
        <f>AND(#REF!,"AAAAAG+bO4w=")</f>
        <v>#REF!</v>
      </c>
      <c r="EL4" t="e">
        <f>AND(#REF!,"AAAAAG+bO40=")</f>
        <v>#REF!</v>
      </c>
      <c r="EM4" t="e">
        <f>AND(#REF!,"AAAAAG+bO44=")</f>
        <v>#REF!</v>
      </c>
      <c r="EN4" t="e">
        <f>AND(#REF!,"AAAAAG+bO48=")</f>
        <v>#REF!</v>
      </c>
      <c r="EO4" t="e">
        <f>AND(#REF!,"AAAAAG+bO5A=")</f>
        <v>#REF!</v>
      </c>
      <c r="EP4" t="e">
        <f>AND(#REF!,"AAAAAG+bO5E=")</f>
        <v>#REF!</v>
      </c>
      <c r="EQ4" t="e">
        <f>AND(#REF!,"AAAAAG+bO5I=")</f>
        <v>#REF!</v>
      </c>
      <c r="ER4" t="e">
        <f>IF(#REF!,"AAAAAG+bO5M=",0)</f>
        <v>#REF!</v>
      </c>
      <c r="ES4" t="e">
        <f>AND(#REF!,"AAAAAG+bO5Q=")</f>
        <v>#REF!</v>
      </c>
      <c r="ET4" t="e">
        <f>AND(#REF!,"AAAAAG+bO5U=")</f>
        <v>#REF!</v>
      </c>
      <c r="EU4" t="e">
        <f>AND(#REF!,"AAAAAG+bO5Y=")</f>
        <v>#REF!</v>
      </c>
      <c r="EV4" t="e">
        <f>AND(#REF!,"AAAAAG+bO5c=")</f>
        <v>#REF!</v>
      </c>
      <c r="EW4" t="e">
        <f>AND(#REF!,"AAAAAG+bO5g=")</f>
        <v>#REF!</v>
      </c>
      <c r="EX4" t="e">
        <f>AND(#REF!,"AAAAAG+bO5k=")</f>
        <v>#REF!</v>
      </c>
      <c r="EY4" t="e">
        <f>AND(#REF!,"AAAAAG+bO5o=")</f>
        <v>#REF!</v>
      </c>
      <c r="EZ4" t="e">
        <f>AND(#REF!,"AAAAAG+bO5s=")</f>
        <v>#REF!</v>
      </c>
      <c r="FA4" t="e">
        <f>AND(#REF!,"AAAAAG+bO5w=")</f>
        <v>#REF!</v>
      </c>
      <c r="FB4" t="e">
        <f>AND(#REF!,"AAAAAG+bO50=")</f>
        <v>#REF!</v>
      </c>
      <c r="FC4" t="e">
        <f>AND(#REF!,"AAAAAG+bO54=")</f>
        <v>#REF!</v>
      </c>
      <c r="FD4" t="e">
        <f>AND(#REF!,"AAAAAG+bO58=")</f>
        <v>#REF!</v>
      </c>
      <c r="FE4" t="e">
        <f>AND(#REF!,"AAAAAG+bO6A=")</f>
        <v>#REF!</v>
      </c>
      <c r="FF4" t="e">
        <f>IF(#REF!,"AAAAAG+bO6E=",0)</f>
        <v>#REF!</v>
      </c>
      <c r="FG4" t="e">
        <f>AND(#REF!,"AAAAAG+bO6I=")</f>
        <v>#REF!</v>
      </c>
      <c r="FH4" t="e">
        <f>AND(#REF!,"AAAAAG+bO6M=")</f>
        <v>#REF!</v>
      </c>
      <c r="FI4" t="e">
        <f>AND(#REF!,"AAAAAG+bO6Q=")</f>
        <v>#REF!</v>
      </c>
      <c r="FJ4" t="e">
        <f>AND(#REF!,"AAAAAG+bO6U=")</f>
        <v>#REF!</v>
      </c>
      <c r="FK4" t="e">
        <f>AND(#REF!,"AAAAAG+bO6Y=")</f>
        <v>#REF!</v>
      </c>
      <c r="FL4" t="e">
        <f>AND(#REF!,"AAAAAG+bO6c=")</f>
        <v>#REF!</v>
      </c>
      <c r="FM4" t="e">
        <f>AND(#REF!,"AAAAAG+bO6g=")</f>
        <v>#REF!</v>
      </c>
      <c r="FN4" t="e">
        <f>AND(#REF!,"AAAAAG+bO6k=")</f>
        <v>#REF!</v>
      </c>
      <c r="FO4" t="e">
        <f>AND(#REF!,"AAAAAG+bO6o=")</f>
        <v>#REF!</v>
      </c>
      <c r="FP4" t="e">
        <f>AND(#REF!,"AAAAAG+bO6s=")</f>
        <v>#REF!</v>
      </c>
      <c r="FQ4" t="e">
        <f>AND(#REF!,"AAAAAG+bO6w=")</f>
        <v>#REF!</v>
      </c>
      <c r="FR4" t="e">
        <f>AND(#REF!,"AAAAAG+bO60=")</f>
        <v>#REF!</v>
      </c>
      <c r="FS4" t="e">
        <f>AND(#REF!,"AAAAAG+bO64=")</f>
        <v>#REF!</v>
      </c>
      <c r="FT4" t="e">
        <f>IF(#REF!,"AAAAAG+bO68=",0)</f>
        <v>#REF!</v>
      </c>
      <c r="FU4" t="e">
        <f>AND(#REF!,"AAAAAG+bO7A=")</f>
        <v>#REF!</v>
      </c>
      <c r="FV4" t="e">
        <f>AND(#REF!,"AAAAAG+bO7E=")</f>
        <v>#REF!</v>
      </c>
      <c r="FW4" t="e">
        <f>AND(#REF!,"AAAAAG+bO7I=")</f>
        <v>#REF!</v>
      </c>
      <c r="FX4" t="e">
        <f>AND(#REF!,"AAAAAG+bO7M=")</f>
        <v>#REF!</v>
      </c>
      <c r="FY4" t="e">
        <f>AND(#REF!,"AAAAAG+bO7Q=")</f>
        <v>#REF!</v>
      </c>
      <c r="FZ4" t="e">
        <f>AND(#REF!,"AAAAAG+bO7U=")</f>
        <v>#REF!</v>
      </c>
      <c r="GA4" t="e">
        <f>AND(#REF!,"AAAAAG+bO7Y=")</f>
        <v>#REF!</v>
      </c>
      <c r="GB4" t="e">
        <f>AND(#REF!,"AAAAAG+bO7c=")</f>
        <v>#REF!</v>
      </c>
      <c r="GC4" t="e">
        <f>AND(#REF!,"AAAAAG+bO7g=")</f>
        <v>#REF!</v>
      </c>
      <c r="GD4" t="e">
        <f>AND(#REF!,"AAAAAG+bO7k=")</f>
        <v>#REF!</v>
      </c>
      <c r="GE4" t="e">
        <f>AND(#REF!,"AAAAAG+bO7o=")</f>
        <v>#REF!</v>
      </c>
      <c r="GF4" t="e">
        <f>AND(#REF!,"AAAAAG+bO7s=")</f>
        <v>#REF!</v>
      </c>
      <c r="GG4" t="e">
        <f>AND(#REF!,"AAAAAG+bO7w=")</f>
        <v>#REF!</v>
      </c>
      <c r="GH4" t="e">
        <f>IF(#REF!,"AAAAAG+bO70=",0)</f>
        <v>#REF!</v>
      </c>
      <c r="GI4" t="e">
        <f>AND(#REF!,"AAAAAG+bO74=")</f>
        <v>#REF!</v>
      </c>
      <c r="GJ4" t="e">
        <f>AND(#REF!,"AAAAAG+bO78=")</f>
        <v>#REF!</v>
      </c>
      <c r="GK4" t="e">
        <f>AND(#REF!,"AAAAAG+bO8A=")</f>
        <v>#REF!</v>
      </c>
      <c r="GL4" t="e">
        <f>AND(#REF!,"AAAAAG+bO8E=")</f>
        <v>#REF!</v>
      </c>
      <c r="GM4" t="e">
        <f>AND(#REF!,"AAAAAG+bO8I=")</f>
        <v>#REF!</v>
      </c>
      <c r="GN4" t="e">
        <f>AND(#REF!,"AAAAAG+bO8M=")</f>
        <v>#REF!</v>
      </c>
      <c r="GO4" t="e">
        <f>AND(#REF!,"AAAAAG+bO8Q=")</f>
        <v>#REF!</v>
      </c>
      <c r="GP4" t="e">
        <f>AND(#REF!,"AAAAAG+bO8U=")</f>
        <v>#REF!</v>
      </c>
      <c r="GQ4" t="e">
        <f>AND(#REF!,"AAAAAG+bO8Y=")</f>
        <v>#REF!</v>
      </c>
      <c r="GR4" t="e">
        <f>AND(#REF!,"AAAAAG+bO8c=")</f>
        <v>#REF!</v>
      </c>
      <c r="GS4" t="e">
        <f>AND(#REF!,"AAAAAG+bO8g=")</f>
        <v>#REF!</v>
      </c>
      <c r="GT4" t="e">
        <f>AND(#REF!,"AAAAAG+bO8k=")</f>
        <v>#REF!</v>
      </c>
      <c r="GU4" t="e">
        <f>AND(#REF!,"AAAAAG+bO8o=")</f>
        <v>#REF!</v>
      </c>
      <c r="GV4" t="e">
        <f>IF(#REF!,"AAAAAG+bO8s=",0)</f>
        <v>#REF!</v>
      </c>
      <c r="GW4" t="e">
        <f>AND(#REF!,"AAAAAG+bO8w=")</f>
        <v>#REF!</v>
      </c>
      <c r="GX4" t="e">
        <f>AND(#REF!,"AAAAAG+bO80=")</f>
        <v>#REF!</v>
      </c>
      <c r="GY4" t="e">
        <f>AND(#REF!,"AAAAAG+bO84=")</f>
        <v>#REF!</v>
      </c>
      <c r="GZ4" t="e">
        <f>AND(#REF!,"AAAAAG+bO88=")</f>
        <v>#REF!</v>
      </c>
      <c r="HA4" t="e">
        <f>AND(#REF!,"AAAAAG+bO9A=")</f>
        <v>#REF!</v>
      </c>
      <c r="HB4" t="e">
        <f>AND(#REF!,"AAAAAG+bO9E=")</f>
        <v>#REF!</v>
      </c>
      <c r="HC4" t="e">
        <f>AND(#REF!,"AAAAAG+bO9I=")</f>
        <v>#REF!</v>
      </c>
      <c r="HD4" t="e">
        <f>AND(#REF!,"AAAAAG+bO9M=")</f>
        <v>#REF!</v>
      </c>
      <c r="HE4" t="e">
        <f>AND(#REF!,"AAAAAG+bO9Q=")</f>
        <v>#REF!</v>
      </c>
      <c r="HF4" t="e">
        <f>AND(#REF!,"AAAAAG+bO9U=")</f>
        <v>#REF!</v>
      </c>
      <c r="HG4" t="e">
        <f>AND(#REF!,"AAAAAG+bO9Y=")</f>
        <v>#REF!</v>
      </c>
      <c r="HH4" t="e">
        <f>AND(#REF!,"AAAAAG+bO9c=")</f>
        <v>#REF!</v>
      </c>
      <c r="HI4" t="e">
        <f>AND(#REF!,"AAAAAG+bO9g=")</f>
        <v>#REF!</v>
      </c>
      <c r="HJ4" t="e">
        <f>IF(#REF!,"AAAAAG+bO9k=",0)</f>
        <v>#REF!</v>
      </c>
      <c r="HK4" t="e">
        <f>AND(#REF!,"AAAAAG+bO9o=")</f>
        <v>#REF!</v>
      </c>
      <c r="HL4" t="e">
        <f>AND(#REF!,"AAAAAG+bO9s=")</f>
        <v>#REF!</v>
      </c>
      <c r="HM4" t="e">
        <f>AND(#REF!,"AAAAAG+bO9w=")</f>
        <v>#REF!</v>
      </c>
      <c r="HN4" t="e">
        <f>AND(#REF!,"AAAAAG+bO90=")</f>
        <v>#REF!</v>
      </c>
      <c r="HO4" t="e">
        <f>AND(#REF!,"AAAAAG+bO94=")</f>
        <v>#REF!</v>
      </c>
      <c r="HP4" t="e">
        <f>AND(#REF!,"AAAAAG+bO98=")</f>
        <v>#REF!</v>
      </c>
      <c r="HQ4" t="e">
        <f>AND(#REF!,"AAAAAG+bO+A=")</f>
        <v>#REF!</v>
      </c>
      <c r="HR4" t="e">
        <f>AND(#REF!,"AAAAAG+bO+E=")</f>
        <v>#REF!</v>
      </c>
      <c r="HS4" t="e">
        <f>AND(#REF!,"AAAAAG+bO+I=")</f>
        <v>#REF!</v>
      </c>
      <c r="HT4" t="e">
        <f>AND(#REF!,"AAAAAG+bO+M=")</f>
        <v>#REF!</v>
      </c>
      <c r="HU4" t="e">
        <f>AND(#REF!,"AAAAAG+bO+Q=")</f>
        <v>#REF!</v>
      </c>
      <c r="HV4" t="e">
        <f>AND(#REF!,"AAAAAG+bO+U=")</f>
        <v>#REF!</v>
      </c>
      <c r="HW4" t="e">
        <f>AND(#REF!,"AAAAAG+bO+Y=")</f>
        <v>#REF!</v>
      </c>
      <c r="HX4" t="e">
        <f>IF(#REF!,"AAAAAG+bO+c=",0)</f>
        <v>#REF!</v>
      </c>
      <c r="HY4" t="e">
        <f>AND(#REF!,"AAAAAG+bO+g=")</f>
        <v>#REF!</v>
      </c>
      <c r="HZ4" t="e">
        <f>AND(#REF!,"AAAAAG+bO+k=")</f>
        <v>#REF!</v>
      </c>
      <c r="IA4" t="e">
        <f>AND(#REF!,"AAAAAG+bO+o=")</f>
        <v>#REF!</v>
      </c>
      <c r="IB4" t="e">
        <f>AND(#REF!,"AAAAAG+bO+s=")</f>
        <v>#REF!</v>
      </c>
      <c r="IC4" t="e">
        <f>AND(#REF!,"AAAAAG+bO+w=")</f>
        <v>#REF!</v>
      </c>
      <c r="ID4" t="e">
        <f>AND(#REF!,"AAAAAG+bO+0=")</f>
        <v>#REF!</v>
      </c>
      <c r="IE4" t="e">
        <f>AND(#REF!,"AAAAAG+bO+4=")</f>
        <v>#REF!</v>
      </c>
      <c r="IF4" t="e">
        <f>AND(#REF!,"AAAAAG+bO+8=")</f>
        <v>#REF!</v>
      </c>
      <c r="IG4" t="e">
        <f>AND(#REF!,"AAAAAG+bO/A=")</f>
        <v>#REF!</v>
      </c>
      <c r="IH4" t="e">
        <f>AND(#REF!,"AAAAAG+bO/E=")</f>
        <v>#REF!</v>
      </c>
      <c r="II4" t="e">
        <f>AND(#REF!,"AAAAAG+bO/I=")</f>
        <v>#REF!</v>
      </c>
      <c r="IJ4" t="e">
        <f>AND(#REF!,"AAAAAG+bO/M=")</f>
        <v>#REF!</v>
      </c>
      <c r="IK4" t="e">
        <f>AND(#REF!,"AAAAAG+bO/Q=")</f>
        <v>#REF!</v>
      </c>
      <c r="IL4" t="e">
        <f>IF(#REF!,"AAAAAG+bO/U=",0)</f>
        <v>#REF!</v>
      </c>
      <c r="IM4" t="e">
        <f>AND(#REF!,"AAAAAG+bO/Y=")</f>
        <v>#REF!</v>
      </c>
      <c r="IN4" t="e">
        <f>AND(#REF!,"AAAAAG+bO/c=")</f>
        <v>#REF!</v>
      </c>
      <c r="IO4" t="e">
        <f>AND(#REF!,"AAAAAG+bO/g=")</f>
        <v>#REF!</v>
      </c>
      <c r="IP4" t="e">
        <f>AND(#REF!,"AAAAAG+bO/k=")</f>
        <v>#REF!</v>
      </c>
      <c r="IQ4" t="e">
        <f>AND(#REF!,"AAAAAG+bO/o=")</f>
        <v>#REF!</v>
      </c>
      <c r="IR4" t="e">
        <f>AND(#REF!,"AAAAAG+bO/s=")</f>
        <v>#REF!</v>
      </c>
      <c r="IS4" t="e">
        <f>AND(#REF!,"AAAAAG+bO/w=")</f>
        <v>#REF!</v>
      </c>
      <c r="IT4" t="e">
        <f>AND(#REF!,"AAAAAG+bO/0=")</f>
        <v>#REF!</v>
      </c>
      <c r="IU4" t="e">
        <f>AND(#REF!,"AAAAAG+bO/4=")</f>
        <v>#REF!</v>
      </c>
      <c r="IV4" t="e">
        <f>AND(#REF!,"AAAAAG+bO/8=")</f>
        <v>#REF!</v>
      </c>
    </row>
    <row r="5" spans="1:256" x14ac:dyDescent="0.2">
      <c r="A5" t="e">
        <f>AND(#REF!,"AAAAAHV/fwA=")</f>
        <v>#REF!</v>
      </c>
      <c r="B5" t="e">
        <f>AND(#REF!,"AAAAAHV/fwE=")</f>
        <v>#REF!</v>
      </c>
      <c r="C5" t="e">
        <f>AND(#REF!,"AAAAAHV/fwI=")</f>
        <v>#REF!</v>
      </c>
      <c r="D5" t="e">
        <f>IF(#REF!,"AAAAAHV/fwM=",0)</f>
        <v>#REF!</v>
      </c>
      <c r="E5" t="e">
        <f>AND(#REF!,"AAAAAHV/fwQ=")</f>
        <v>#REF!</v>
      </c>
      <c r="F5" t="e">
        <f>AND(#REF!,"AAAAAHV/fwU=")</f>
        <v>#REF!</v>
      </c>
      <c r="G5" t="e">
        <f>AND(#REF!,"AAAAAHV/fwY=")</f>
        <v>#REF!</v>
      </c>
      <c r="H5" t="e">
        <f>AND(#REF!,"AAAAAHV/fwc=")</f>
        <v>#REF!</v>
      </c>
      <c r="I5" t="e">
        <f>AND(#REF!,"AAAAAHV/fwg=")</f>
        <v>#REF!</v>
      </c>
      <c r="J5" t="e">
        <f>AND(#REF!,"AAAAAHV/fwk=")</f>
        <v>#REF!</v>
      </c>
      <c r="K5" t="e">
        <f>AND(#REF!,"AAAAAHV/fwo=")</f>
        <v>#REF!</v>
      </c>
      <c r="L5" t="e">
        <f>AND(#REF!,"AAAAAHV/fws=")</f>
        <v>#REF!</v>
      </c>
      <c r="M5" t="e">
        <f>AND(#REF!,"AAAAAHV/fww=")</f>
        <v>#REF!</v>
      </c>
      <c r="N5" t="e">
        <f>AND(#REF!,"AAAAAHV/fw0=")</f>
        <v>#REF!</v>
      </c>
      <c r="O5" t="e">
        <f>AND(#REF!,"AAAAAHV/fw4=")</f>
        <v>#REF!</v>
      </c>
      <c r="P5" t="e">
        <f>AND(#REF!,"AAAAAHV/fw8=")</f>
        <v>#REF!</v>
      </c>
      <c r="Q5" t="e">
        <f>AND(#REF!,"AAAAAHV/fxA=")</f>
        <v>#REF!</v>
      </c>
      <c r="R5" t="e">
        <f>IF(#REF!,"AAAAAHV/fxE=",0)</f>
        <v>#REF!</v>
      </c>
      <c r="S5" t="e">
        <f>AND(#REF!,"AAAAAHV/fxI=")</f>
        <v>#REF!</v>
      </c>
      <c r="T5" t="e">
        <f>AND(#REF!,"AAAAAHV/fxM=")</f>
        <v>#REF!</v>
      </c>
      <c r="U5" t="e">
        <f>AND(#REF!,"AAAAAHV/fxQ=")</f>
        <v>#REF!</v>
      </c>
      <c r="V5" t="e">
        <f>AND(#REF!,"AAAAAHV/fxU=")</f>
        <v>#REF!</v>
      </c>
      <c r="W5" t="e">
        <f>AND(#REF!,"AAAAAHV/fxY=")</f>
        <v>#REF!</v>
      </c>
      <c r="X5" t="e">
        <f>AND(#REF!,"AAAAAHV/fxc=")</f>
        <v>#REF!</v>
      </c>
      <c r="Y5" t="e">
        <f>AND(#REF!,"AAAAAHV/fxg=")</f>
        <v>#REF!</v>
      </c>
      <c r="Z5" t="e">
        <f>AND(#REF!,"AAAAAHV/fxk=")</f>
        <v>#REF!</v>
      </c>
      <c r="AA5" t="e">
        <f>AND(#REF!,"AAAAAHV/fxo=")</f>
        <v>#REF!</v>
      </c>
      <c r="AB5" t="e">
        <f>AND(#REF!,"AAAAAHV/fxs=")</f>
        <v>#REF!</v>
      </c>
      <c r="AC5" t="e">
        <f>AND(#REF!,"AAAAAHV/fxw=")</f>
        <v>#REF!</v>
      </c>
      <c r="AD5" t="e">
        <f>AND(#REF!,"AAAAAHV/fx0=")</f>
        <v>#REF!</v>
      </c>
      <c r="AE5" t="e">
        <f>AND(#REF!,"AAAAAHV/fx4=")</f>
        <v>#REF!</v>
      </c>
      <c r="AF5" t="e">
        <f>IF(#REF!,"AAAAAHV/fx8=",0)</f>
        <v>#REF!</v>
      </c>
      <c r="AG5" t="e">
        <f>AND(#REF!,"AAAAAHV/fyA=")</f>
        <v>#REF!</v>
      </c>
      <c r="AH5" t="e">
        <f>AND(#REF!,"AAAAAHV/fyE=")</f>
        <v>#REF!</v>
      </c>
      <c r="AI5" t="e">
        <f>AND(#REF!,"AAAAAHV/fyI=")</f>
        <v>#REF!</v>
      </c>
      <c r="AJ5" t="e">
        <f>AND(#REF!,"AAAAAHV/fyM=")</f>
        <v>#REF!</v>
      </c>
      <c r="AK5" t="e">
        <f>AND(#REF!,"AAAAAHV/fyQ=")</f>
        <v>#REF!</v>
      </c>
      <c r="AL5" t="e">
        <f>AND(#REF!,"AAAAAHV/fyU=")</f>
        <v>#REF!</v>
      </c>
      <c r="AM5" t="e">
        <f>AND(#REF!,"AAAAAHV/fyY=")</f>
        <v>#REF!</v>
      </c>
      <c r="AN5" t="e">
        <f>AND(#REF!,"AAAAAHV/fyc=")</f>
        <v>#REF!</v>
      </c>
      <c r="AO5" t="e">
        <f>AND(#REF!,"AAAAAHV/fyg=")</f>
        <v>#REF!</v>
      </c>
      <c r="AP5" t="e">
        <f>AND(#REF!,"AAAAAHV/fyk=")</f>
        <v>#REF!</v>
      </c>
      <c r="AQ5" t="e">
        <f>AND(#REF!,"AAAAAHV/fyo=")</f>
        <v>#REF!</v>
      </c>
      <c r="AR5" t="e">
        <f>AND(#REF!,"AAAAAHV/fys=")</f>
        <v>#REF!</v>
      </c>
      <c r="AS5" t="e">
        <f>AND(#REF!,"AAAAAHV/fyw=")</f>
        <v>#REF!</v>
      </c>
      <c r="AT5" t="e">
        <f>IF(#REF!,"AAAAAHV/fy0=",0)</f>
        <v>#REF!</v>
      </c>
      <c r="AU5" t="e">
        <f>AND(#REF!,"AAAAAHV/fy4=")</f>
        <v>#REF!</v>
      </c>
      <c r="AV5" t="e">
        <f>AND(#REF!,"AAAAAHV/fy8=")</f>
        <v>#REF!</v>
      </c>
      <c r="AW5" t="e">
        <f>AND(#REF!,"AAAAAHV/fzA=")</f>
        <v>#REF!</v>
      </c>
      <c r="AX5" t="e">
        <f>AND(#REF!,"AAAAAHV/fzE=")</f>
        <v>#REF!</v>
      </c>
      <c r="AY5" t="e">
        <f>AND(#REF!,"AAAAAHV/fzI=")</f>
        <v>#REF!</v>
      </c>
      <c r="AZ5" t="e">
        <f>AND(#REF!,"AAAAAHV/fzM=")</f>
        <v>#REF!</v>
      </c>
      <c r="BA5" t="e">
        <f>AND(#REF!,"AAAAAHV/fzQ=")</f>
        <v>#REF!</v>
      </c>
      <c r="BB5" t="e">
        <f>AND(#REF!,"AAAAAHV/fzU=")</f>
        <v>#REF!</v>
      </c>
      <c r="BC5" t="e">
        <f>AND(#REF!,"AAAAAHV/fzY=")</f>
        <v>#REF!</v>
      </c>
      <c r="BD5" t="e">
        <f>AND(#REF!,"AAAAAHV/fzc=")</f>
        <v>#REF!</v>
      </c>
      <c r="BE5" t="e">
        <f>AND(#REF!,"AAAAAHV/fzg=")</f>
        <v>#REF!</v>
      </c>
      <c r="BF5" t="e">
        <f>AND(#REF!,"AAAAAHV/fzk=")</f>
        <v>#REF!</v>
      </c>
      <c r="BG5" t="e">
        <f>AND(#REF!,"AAAAAHV/fzo=")</f>
        <v>#REF!</v>
      </c>
      <c r="BH5" t="e">
        <f>IF(#REF!,"AAAAAHV/fzs=",0)</f>
        <v>#REF!</v>
      </c>
      <c r="BI5" t="e">
        <f>AND(#REF!,"AAAAAHV/fzw=")</f>
        <v>#REF!</v>
      </c>
      <c r="BJ5" t="e">
        <f>AND(#REF!,"AAAAAHV/fz0=")</f>
        <v>#REF!</v>
      </c>
      <c r="BK5" t="e">
        <f>AND(#REF!,"AAAAAHV/fz4=")</f>
        <v>#REF!</v>
      </c>
      <c r="BL5" t="e">
        <f>AND(#REF!,"AAAAAHV/fz8=")</f>
        <v>#REF!</v>
      </c>
      <c r="BM5" t="e">
        <f>AND(#REF!,"AAAAAHV/f0A=")</f>
        <v>#REF!</v>
      </c>
      <c r="BN5" t="e">
        <f>AND(#REF!,"AAAAAHV/f0E=")</f>
        <v>#REF!</v>
      </c>
      <c r="BO5" t="e">
        <f>AND(#REF!,"AAAAAHV/f0I=")</f>
        <v>#REF!</v>
      </c>
      <c r="BP5" t="e">
        <f>AND(#REF!,"AAAAAHV/f0M=")</f>
        <v>#REF!</v>
      </c>
      <c r="BQ5" t="e">
        <f>AND(#REF!,"AAAAAHV/f0Q=")</f>
        <v>#REF!</v>
      </c>
      <c r="BR5" t="e">
        <f>AND(#REF!,"AAAAAHV/f0U=")</f>
        <v>#REF!</v>
      </c>
      <c r="BS5" t="e">
        <f>AND(#REF!,"AAAAAHV/f0Y=")</f>
        <v>#REF!</v>
      </c>
      <c r="BT5" t="e">
        <f>AND(#REF!,"AAAAAHV/f0c=")</f>
        <v>#REF!</v>
      </c>
      <c r="BU5" t="e">
        <f>AND(#REF!,"AAAAAHV/f0g=")</f>
        <v>#REF!</v>
      </c>
      <c r="BV5" t="e">
        <f>IF(#REF!,"AAAAAHV/f0k=",0)</f>
        <v>#REF!</v>
      </c>
      <c r="BW5" t="e">
        <f>AND(#REF!,"AAAAAHV/f0o=")</f>
        <v>#REF!</v>
      </c>
      <c r="BX5" t="e">
        <f>AND(#REF!,"AAAAAHV/f0s=")</f>
        <v>#REF!</v>
      </c>
      <c r="BY5" t="e">
        <f>AND(#REF!,"AAAAAHV/f0w=")</f>
        <v>#REF!</v>
      </c>
      <c r="BZ5" t="e">
        <f>AND(#REF!,"AAAAAHV/f00=")</f>
        <v>#REF!</v>
      </c>
      <c r="CA5" t="e">
        <f>AND(#REF!,"AAAAAHV/f04=")</f>
        <v>#REF!</v>
      </c>
      <c r="CB5" t="e">
        <f>AND(#REF!,"AAAAAHV/f08=")</f>
        <v>#REF!</v>
      </c>
      <c r="CC5" t="e">
        <f>AND(#REF!,"AAAAAHV/f1A=")</f>
        <v>#REF!</v>
      </c>
      <c r="CD5" t="e">
        <f>AND(#REF!,"AAAAAHV/f1E=")</f>
        <v>#REF!</v>
      </c>
      <c r="CE5" t="e">
        <f>AND(#REF!,"AAAAAHV/f1I=")</f>
        <v>#REF!</v>
      </c>
      <c r="CF5" t="e">
        <f>AND(#REF!,"AAAAAHV/f1M=")</f>
        <v>#REF!</v>
      </c>
      <c r="CG5" t="e">
        <f>AND(#REF!,"AAAAAHV/f1Q=")</f>
        <v>#REF!</v>
      </c>
      <c r="CH5" t="e">
        <f>AND(#REF!,"AAAAAHV/f1U=")</f>
        <v>#REF!</v>
      </c>
      <c r="CI5" t="e">
        <f>AND(#REF!,"AAAAAHV/f1Y=")</f>
        <v>#REF!</v>
      </c>
      <c r="CJ5" t="e">
        <f>IF(#REF!,"AAAAAHV/f1c=",0)</f>
        <v>#REF!</v>
      </c>
      <c r="CK5" t="e">
        <f>AND(#REF!,"AAAAAHV/f1g=")</f>
        <v>#REF!</v>
      </c>
      <c r="CL5" t="e">
        <f>AND(#REF!,"AAAAAHV/f1k=")</f>
        <v>#REF!</v>
      </c>
      <c r="CM5" t="e">
        <f>AND(#REF!,"AAAAAHV/f1o=")</f>
        <v>#REF!</v>
      </c>
      <c r="CN5" t="e">
        <f>AND(#REF!,"AAAAAHV/f1s=")</f>
        <v>#REF!</v>
      </c>
      <c r="CO5" t="e">
        <f>AND(#REF!,"AAAAAHV/f1w=")</f>
        <v>#REF!</v>
      </c>
      <c r="CP5" t="e">
        <f>AND(#REF!,"AAAAAHV/f10=")</f>
        <v>#REF!</v>
      </c>
      <c r="CQ5" t="e">
        <f>AND(#REF!,"AAAAAHV/f14=")</f>
        <v>#REF!</v>
      </c>
      <c r="CR5" t="e">
        <f>AND(#REF!,"AAAAAHV/f18=")</f>
        <v>#REF!</v>
      </c>
      <c r="CS5" t="e">
        <f>AND(#REF!,"AAAAAHV/f2A=")</f>
        <v>#REF!</v>
      </c>
      <c r="CT5" t="e">
        <f>AND(#REF!,"AAAAAHV/f2E=")</f>
        <v>#REF!</v>
      </c>
      <c r="CU5" t="e">
        <f>AND(#REF!,"AAAAAHV/f2I=")</f>
        <v>#REF!</v>
      </c>
      <c r="CV5" t="e">
        <f>AND(#REF!,"AAAAAHV/f2M=")</f>
        <v>#REF!</v>
      </c>
      <c r="CW5" t="e">
        <f>AND(#REF!,"AAAAAHV/f2Q=")</f>
        <v>#REF!</v>
      </c>
      <c r="CX5" t="e">
        <f>IF(#REF!,"AAAAAHV/f2U=",0)</f>
        <v>#REF!</v>
      </c>
      <c r="CY5" t="e">
        <f>AND(#REF!,"AAAAAHV/f2Y=")</f>
        <v>#REF!</v>
      </c>
      <c r="CZ5" t="e">
        <f>AND(#REF!,"AAAAAHV/f2c=")</f>
        <v>#REF!</v>
      </c>
      <c r="DA5" t="e">
        <f>AND(#REF!,"AAAAAHV/f2g=")</f>
        <v>#REF!</v>
      </c>
      <c r="DB5" t="e">
        <f>AND(#REF!,"AAAAAHV/f2k=")</f>
        <v>#REF!</v>
      </c>
      <c r="DC5" t="e">
        <f>AND(#REF!,"AAAAAHV/f2o=")</f>
        <v>#REF!</v>
      </c>
      <c r="DD5" t="e">
        <f>AND(#REF!,"AAAAAHV/f2s=")</f>
        <v>#REF!</v>
      </c>
      <c r="DE5" t="e">
        <f>AND(#REF!,"AAAAAHV/f2w=")</f>
        <v>#REF!</v>
      </c>
      <c r="DF5" t="e">
        <f>AND(#REF!,"AAAAAHV/f20=")</f>
        <v>#REF!</v>
      </c>
      <c r="DG5" t="e">
        <f>AND(#REF!,"AAAAAHV/f24=")</f>
        <v>#REF!</v>
      </c>
      <c r="DH5" t="e">
        <f>AND(#REF!,"AAAAAHV/f28=")</f>
        <v>#REF!</v>
      </c>
      <c r="DI5" t="e">
        <f>AND(#REF!,"AAAAAHV/f3A=")</f>
        <v>#REF!</v>
      </c>
      <c r="DJ5" t="e">
        <f>AND(#REF!,"AAAAAHV/f3E=")</f>
        <v>#REF!</v>
      </c>
      <c r="DK5" t="e">
        <f>AND(#REF!,"AAAAAHV/f3I=")</f>
        <v>#REF!</v>
      </c>
      <c r="DL5" t="e">
        <f>IF(#REF!,"AAAAAHV/f3M=",0)</f>
        <v>#REF!</v>
      </c>
      <c r="DM5" t="e">
        <f>AND(#REF!,"AAAAAHV/f3Q=")</f>
        <v>#REF!</v>
      </c>
      <c r="DN5" t="e">
        <f>AND(#REF!,"AAAAAHV/f3U=")</f>
        <v>#REF!</v>
      </c>
      <c r="DO5" t="e">
        <f>AND(#REF!,"AAAAAHV/f3Y=")</f>
        <v>#REF!</v>
      </c>
      <c r="DP5" t="e">
        <f>AND(#REF!,"AAAAAHV/f3c=")</f>
        <v>#REF!</v>
      </c>
      <c r="DQ5" t="e">
        <f>AND(#REF!,"AAAAAHV/f3g=")</f>
        <v>#REF!</v>
      </c>
      <c r="DR5" t="e">
        <f>AND(#REF!,"AAAAAHV/f3k=")</f>
        <v>#REF!</v>
      </c>
      <c r="DS5" t="e">
        <f>AND(#REF!,"AAAAAHV/f3o=")</f>
        <v>#REF!</v>
      </c>
      <c r="DT5" t="e">
        <f>AND(#REF!,"AAAAAHV/f3s=")</f>
        <v>#REF!</v>
      </c>
      <c r="DU5" t="e">
        <f>AND(#REF!,"AAAAAHV/f3w=")</f>
        <v>#REF!</v>
      </c>
      <c r="DV5" t="e">
        <f>AND(#REF!,"AAAAAHV/f30=")</f>
        <v>#REF!</v>
      </c>
      <c r="DW5" t="e">
        <f>AND(#REF!,"AAAAAHV/f34=")</f>
        <v>#REF!</v>
      </c>
      <c r="DX5" t="e">
        <f>AND(#REF!,"AAAAAHV/f38=")</f>
        <v>#REF!</v>
      </c>
      <c r="DY5" t="e">
        <f>AND(#REF!,"AAAAAHV/f4A=")</f>
        <v>#REF!</v>
      </c>
      <c r="DZ5" t="e">
        <f>IF(#REF!,"AAAAAHV/f4E=",0)</f>
        <v>#REF!</v>
      </c>
      <c r="EA5" t="e">
        <f>AND(#REF!,"AAAAAHV/f4I=")</f>
        <v>#REF!</v>
      </c>
      <c r="EB5" t="e">
        <f>AND(#REF!,"AAAAAHV/f4M=")</f>
        <v>#REF!</v>
      </c>
      <c r="EC5" t="e">
        <f>AND(#REF!,"AAAAAHV/f4Q=")</f>
        <v>#REF!</v>
      </c>
      <c r="ED5" t="e">
        <f>AND(#REF!,"AAAAAHV/f4U=")</f>
        <v>#REF!</v>
      </c>
      <c r="EE5" t="e">
        <f>AND(#REF!,"AAAAAHV/f4Y=")</f>
        <v>#REF!</v>
      </c>
      <c r="EF5" t="e">
        <f>AND(#REF!,"AAAAAHV/f4c=")</f>
        <v>#REF!</v>
      </c>
      <c r="EG5" t="e">
        <f>AND(#REF!,"AAAAAHV/f4g=")</f>
        <v>#REF!</v>
      </c>
      <c r="EH5" t="e">
        <f>AND(#REF!,"AAAAAHV/f4k=")</f>
        <v>#REF!</v>
      </c>
      <c r="EI5" t="e">
        <f>AND(#REF!,"AAAAAHV/f4o=")</f>
        <v>#REF!</v>
      </c>
      <c r="EJ5" t="e">
        <f>AND(#REF!,"AAAAAHV/f4s=")</f>
        <v>#REF!</v>
      </c>
      <c r="EK5" t="e">
        <f>AND(#REF!,"AAAAAHV/f4w=")</f>
        <v>#REF!</v>
      </c>
      <c r="EL5" t="e">
        <f>AND(#REF!,"AAAAAHV/f40=")</f>
        <v>#REF!</v>
      </c>
      <c r="EM5" t="e">
        <f>AND(#REF!,"AAAAAHV/f44=")</f>
        <v>#REF!</v>
      </c>
      <c r="EN5" t="e">
        <f>IF(#REF!,"AAAAAHV/f48=",0)</f>
        <v>#REF!</v>
      </c>
      <c r="EO5" t="e">
        <f>AND(#REF!,"AAAAAHV/f5A=")</f>
        <v>#REF!</v>
      </c>
      <c r="EP5" t="e">
        <f>AND(#REF!,"AAAAAHV/f5E=")</f>
        <v>#REF!</v>
      </c>
      <c r="EQ5" t="e">
        <f>AND(#REF!,"AAAAAHV/f5I=")</f>
        <v>#REF!</v>
      </c>
      <c r="ER5" t="e">
        <f>AND(#REF!,"AAAAAHV/f5M=")</f>
        <v>#REF!</v>
      </c>
      <c r="ES5" t="e">
        <f>AND(#REF!,"AAAAAHV/f5Q=")</f>
        <v>#REF!</v>
      </c>
      <c r="ET5" t="e">
        <f>AND(#REF!,"AAAAAHV/f5U=")</f>
        <v>#REF!</v>
      </c>
      <c r="EU5" t="e">
        <f>AND(#REF!,"AAAAAHV/f5Y=")</f>
        <v>#REF!</v>
      </c>
      <c r="EV5" t="e">
        <f>AND(#REF!,"AAAAAHV/f5c=")</f>
        <v>#REF!</v>
      </c>
      <c r="EW5" t="e">
        <f>AND(#REF!,"AAAAAHV/f5g=")</f>
        <v>#REF!</v>
      </c>
      <c r="EX5" t="e">
        <f>AND(#REF!,"AAAAAHV/f5k=")</f>
        <v>#REF!</v>
      </c>
      <c r="EY5" t="e">
        <f>AND(#REF!,"AAAAAHV/f5o=")</f>
        <v>#REF!</v>
      </c>
      <c r="EZ5" t="e">
        <f>AND(#REF!,"AAAAAHV/f5s=")</f>
        <v>#REF!</v>
      </c>
      <c r="FA5" t="e">
        <f>AND(#REF!,"AAAAAHV/f5w=")</f>
        <v>#REF!</v>
      </c>
      <c r="FB5" t="e">
        <f>IF(#REF!,"AAAAAHV/f50=",0)</f>
        <v>#REF!</v>
      </c>
      <c r="FC5" t="e">
        <f>AND(#REF!,"AAAAAHV/f54=")</f>
        <v>#REF!</v>
      </c>
      <c r="FD5" t="e">
        <f>AND(#REF!,"AAAAAHV/f58=")</f>
        <v>#REF!</v>
      </c>
      <c r="FE5" t="e">
        <f>AND(#REF!,"AAAAAHV/f6A=")</f>
        <v>#REF!</v>
      </c>
      <c r="FF5" t="e">
        <f>AND(#REF!,"AAAAAHV/f6E=")</f>
        <v>#REF!</v>
      </c>
      <c r="FG5" t="e">
        <f>AND(#REF!,"AAAAAHV/f6I=")</f>
        <v>#REF!</v>
      </c>
      <c r="FH5" t="e">
        <f>AND(#REF!,"AAAAAHV/f6M=")</f>
        <v>#REF!</v>
      </c>
      <c r="FI5" t="e">
        <f>AND(#REF!,"AAAAAHV/f6Q=")</f>
        <v>#REF!</v>
      </c>
      <c r="FJ5" t="e">
        <f>AND(#REF!,"AAAAAHV/f6U=")</f>
        <v>#REF!</v>
      </c>
      <c r="FK5" t="e">
        <f>AND(#REF!,"AAAAAHV/f6Y=")</f>
        <v>#REF!</v>
      </c>
      <c r="FL5" t="e">
        <f>AND(#REF!,"AAAAAHV/f6c=")</f>
        <v>#REF!</v>
      </c>
      <c r="FM5" t="e">
        <f>AND(#REF!,"AAAAAHV/f6g=")</f>
        <v>#REF!</v>
      </c>
      <c r="FN5" t="e">
        <f>AND(#REF!,"AAAAAHV/f6k=")</f>
        <v>#REF!</v>
      </c>
      <c r="FO5" t="e">
        <f>AND(#REF!,"AAAAAHV/f6o=")</f>
        <v>#REF!</v>
      </c>
      <c r="FP5" t="e">
        <f>IF(#REF!,"AAAAAHV/f6s=",0)</f>
        <v>#REF!</v>
      </c>
      <c r="FQ5" t="e">
        <f>AND(#REF!,"AAAAAHV/f6w=")</f>
        <v>#REF!</v>
      </c>
      <c r="FR5" t="e">
        <f>AND(#REF!,"AAAAAHV/f60=")</f>
        <v>#REF!</v>
      </c>
      <c r="FS5" t="e">
        <f>AND(#REF!,"AAAAAHV/f64=")</f>
        <v>#REF!</v>
      </c>
      <c r="FT5" t="e">
        <f>AND(#REF!,"AAAAAHV/f68=")</f>
        <v>#REF!</v>
      </c>
      <c r="FU5" t="e">
        <f>AND(#REF!,"AAAAAHV/f7A=")</f>
        <v>#REF!</v>
      </c>
      <c r="FV5" t="e">
        <f>AND(#REF!,"AAAAAHV/f7E=")</f>
        <v>#REF!</v>
      </c>
      <c r="FW5" t="e">
        <f>AND(#REF!,"AAAAAHV/f7I=")</f>
        <v>#REF!</v>
      </c>
      <c r="FX5" t="e">
        <f>AND(#REF!,"AAAAAHV/f7M=")</f>
        <v>#REF!</v>
      </c>
      <c r="FY5" t="e">
        <f>AND(#REF!,"AAAAAHV/f7Q=")</f>
        <v>#REF!</v>
      </c>
      <c r="FZ5" t="e">
        <f>AND(#REF!,"AAAAAHV/f7U=")</f>
        <v>#REF!</v>
      </c>
      <c r="GA5" t="e">
        <f>AND(#REF!,"AAAAAHV/f7Y=")</f>
        <v>#REF!</v>
      </c>
      <c r="GB5" t="e">
        <f>AND(#REF!,"AAAAAHV/f7c=")</f>
        <v>#REF!</v>
      </c>
      <c r="GC5" t="e">
        <f>AND(#REF!,"AAAAAHV/f7g=")</f>
        <v>#REF!</v>
      </c>
      <c r="GD5" t="e">
        <f>IF(#REF!,"AAAAAHV/f7k=",0)</f>
        <v>#REF!</v>
      </c>
      <c r="GE5" t="e">
        <f>AND(#REF!,"AAAAAHV/f7o=")</f>
        <v>#REF!</v>
      </c>
      <c r="GF5" t="e">
        <f>AND(#REF!,"AAAAAHV/f7s=")</f>
        <v>#REF!</v>
      </c>
      <c r="GG5" t="e">
        <f>AND(#REF!,"AAAAAHV/f7w=")</f>
        <v>#REF!</v>
      </c>
      <c r="GH5" t="e">
        <f>AND(#REF!,"AAAAAHV/f70=")</f>
        <v>#REF!</v>
      </c>
      <c r="GI5" t="e">
        <f>AND(#REF!,"AAAAAHV/f74=")</f>
        <v>#REF!</v>
      </c>
      <c r="GJ5" t="e">
        <f>AND(#REF!,"AAAAAHV/f78=")</f>
        <v>#REF!</v>
      </c>
      <c r="GK5" t="e">
        <f>AND(#REF!,"AAAAAHV/f8A=")</f>
        <v>#REF!</v>
      </c>
      <c r="GL5" t="e">
        <f>AND(#REF!,"AAAAAHV/f8E=")</f>
        <v>#REF!</v>
      </c>
      <c r="GM5" t="e">
        <f>AND(#REF!,"AAAAAHV/f8I=")</f>
        <v>#REF!</v>
      </c>
      <c r="GN5" t="e">
        <f>AND(#REF!,"AAAAAHV/f8M=")</f>
        <v>#REF!</v>
      </c>
      <c r="GO5" t="e">
        <f>AND(#REF!,"AAAAAHV/f8Q=")</f>
        <v>#REF!</v>
      </c>
      <c r="GP5" t="e">
        <f>AND(#REF!,"AAAAAHV/f8U=")</f>
        <v>#REF!</v>
      </c>
      <c r="GQ5" t="e">
        <f>AND(#REF!,"AAAAAHV/f8Y=")</f>
        <v>#REF!</v>
      </c>
      <c r="GR5" t="e">
        <f>IF(#REF!,"AAAAAHV/f8c=",0)</f>
        <v>#REF!</v>
      </c>
      <c r="GS5" t="e">
        <f>AND(#REF!,"AAAAAHV/f8g=")</f>
        <v>#REF!</v>
      </c>
      <c r="GT5" t="e">
        <f>AND(#REF!,"AAAAAHV/f8k=")</f>
        <v>#REF!</v>
      </c>
      <c r="GU5" t="e">
        <f>AND(#REF!,"AAAAAHV/f8o=")</f>
        <v>#REF!</v>
      </c>
      <c r="GV5" t="e">
        <f>AND(#REF!,"AAAAAHV/f8s=")</f>
        <v>#REF!</v>
      </c>
      <c r="GW5" t="e">
        <f>AND(#REF!,"AAAAAHV/f8w=")</f>
        <v>#REF!</v>
      </c>
      <c r="GX5" t="e">
        <f>AND(#REF!,"AAAAAHV/f80=")</f>
        <v>#REF!</v>
      </c>
      <c r="GY5" t="e">
        <f>AND(#REF!,"AAAAAHV/f84=")</f>
        <v>#REF!</v>
      </c>
      <c r="GZ5" t="e">
        <f>AND(#REF!,"AAAAAHV/f88=")</f>
        <v>#REF!</v>
      </c>
      <c r="HA5" t="e">
        <f>AND(#REF!,"AAAAAHV/f9A=")</f>
        <v>#REF!</v>
      </c>
      <c r="HB5" t="e">
        <f>AND(#REF!,"AAAAAHV/f9E=")</f>
        <v>#REF!</v>
      </c>
      <c r="HC5" t="e">
        <f>AND(#REF!,"AAAAAHV/f9I=")</f>
        <v>#REF!</v>
      </c>
      <c r="HD5" t="e">
        <f>AND(#REF!,"AAAAAHV/f9M=")</f>
        <v>#REF!</v>
      </c>
      <c r="HE5" t="e">
        <f>AND(#REF!,"AAAAAHV/f9Q=")</f>
        <v>#REF!</v>
      </c>
      <c r="HF5" t="e">
        <f>IF(#REF!,"AAAAAHV/f9U=",0)</f>
        <v>#REF!</v>
      </c>
      <c r="HG5" t="e">
        <f>AND(#REF!,"AAAAAHV/f9Y=")</f>
        <v>#REF!</v>
      </c>
      <c r="HH5" t="e">
        <f>AND(#REF!,"AAAAAHV/f9c=")</f>
        <v>#REF!</v>
      </c>
      <c r="HI5" t="e">
        <f>AND(#REF!,"AAAAAHV/f9g=")</f>
        <v>#REF!</v>
      </c>
      <c r="HJ5" t="e">
        <f>AND(#REF!,"AAAAAHV/f9k=")</f>
        <v>#REF!</v>
      </c>
      <c r="HK5" t="e">
        <f>AND(#REF!,"AAAAAHV/f9o=")</f>
        <v>#REF!</v>
      </c>
      <c r="HL5" t="e">
        <f>AND(#REF!,"AAAAAHV/f9s=")</f>
        <v>#REF!</v>
      </c>
      <c r="HM5" t="e">
        <f>AND(#REF!,"AAAAAHV/f9w=")</f>
        <v>#REF!</v>
      </c>
      <c r="HN5" t="e">
        <f>AND(#REF!,"AAAAAHV/f90=")</f>
        <v>#REF!</v>
      </c>
      <c r="HO5" t="e">
        <f>AND(#REF!,"AAAAAHV/f94=")</f>
        <v>#REF!</v>
      </c>
      <c r="HP5" t="e">
        <f>AND(#REF!,"AAAAAHV/f98=")</f>
        <v>#REF!</v>
      </c>
      <c r="HQ5" t="e">
        <f>AND(#REF!,"AAAAAHV/f+A=")</f>
        <v>#REF!</v>
      </c>
      <c r="HR5" t="e">
        <f>AND(#REF!,"AAAAAHV/f+E=")</f>
        <v>#REF!</v>
      </c>
      <c r="HS5" t="e">
        <f>AND(#REF!,"AAAAAHV/f+I=")</f>
        <v>#REF!</v>
      </c>
      <c r="HT5" t="e">
        <f>IF(#REF!,"AAAAAHV/f+M=",0)</f>
        <v>#REF!</v>
      </c>
      <c r="HU5" t="e">
        <f>AND(#REF!,"AAAAAHV/f+Q=")</f>
        <v>#REF!</v>
      </c>
      <c r="HV5" t="e">
        <f>AND(#REF!,"AAAAAHV/f+U=")</f>
        <v>#REF!</v>
      </c>
      <c r="HW5" t="e">
        <f>AND(#REF!,"AAAAAHV/f+Y=")</f>
        <v>#REF!</v>
      </c>
      <c r="HX5" t="e">
        <f>AND(#REF!,"AAAAAHV/f+c=")</f>
        <v>#REF!</v>
      </c>
      <c r="HY5" t="e">
        <f>AND(#REF!,"AAAAAHV/f+g=")</f>
        <v>#REF!</v>
      </c>
      <c r="HZ5" t="e">
        <f>AND(#REF!,"AAAAAHV/f+k=")</f>
        <v>#REF!</v>
      </c>
      <c r="IA5" t="e">
        <f>AND(#REF!,"AAAAAHV/f+o=")</f>
        <v>#REF!</v>
      </c>
      <c r="IB5" t="e">
        <f>AND(#REF!,"AAAAAHV/f+s=")</f>
        <v>#REF!</v>
      </c>
      <c r="IC5" t="e">
        <f>AND(#REF!,"AAAAAHV/f+w=")</f>
        <v>#REF!</v>
      </c>
      <c r="ID5" t="e">
        <f>AND(#REF!,"AAAAAHV/f+0=")</f>
        <v>#REF!</v>
      </c>
      <c r="IE5" t="e">
        <f>AND(#REF!,"AAAAAHV/f+4=")</f>
        <v>#REF!</v>
      </c>
      <c r="IF5" t="e">
        <f>AND(#REF!,"AAAAAHV/f+8=")</f>
        <v>#REF!</v>
      </c>
      <c r="IG5" t="e">
        <f>AND(#REF!,"AAAAAHV/f/A=")</f>
        <v>#REF!</v>
      </c>
      <c r="IH5" t="e">
        <f>IF(#REF!,"AAAAAHV/f/E=",0)</f>
        <v>#REF!</v>
      </c>
      <c r="II5" t="e">
        <f>AND(#REF!,"AAAAAHV/f/I=")</f>
        <v>#REF!</v>
      </c>
      <c r="IJ5" t="e">
        <f>AND(#REF!,"AAAAAHV/f/M=")</f>
        <v>#REF!</v>
      </c>
      <c r="IK5" t="e">
        <f>AND(#REF!,"AAAAAHV/f/Q=")</f>
        <v>#REF!</v>
      </c>
      <c r="IL5" t="e">
        <f>AND(#REF!,"AAAAAHV/f/U=")</f>
        <v>#REF!</v>
      </c>
      <c r="IM5" t="e">
        <f>AND(#REF!,"AAAAAHV/f/Y=")</f>
        <v>#REF!</v>
      </c>
      <c r="IN5" t="e">
        <f>AND(#REF!,"AAAAAHV/f/c=")</f>
        <v>#REF!</v>
      </c>
      <c r="IO5" t="e">
        <f>AND(#REF!,"AAAAAHV/f/g=")</f>
        <v>#REF!</v>
      </c>
      <c r="IP5" t="e">
        <f>AND(#REF!,"AAAAAHV/f/k=")</f>
        <v>#REF!</v>
      </c>
      <c r="IQ5" t="e">
        <f>AND(#REF!,"AAAAAHV/f/o=")</f>
        <v>#REF!</v>
      </c>
      <c r="IR5" t="e">
        <f>AND(#REF!,"AAAAAHV/f/s=")</f>
        <v>#REF!</v>
      </c>
      <c r="IS5" t="e">
        <f>AND(#REF!,"AAAAAHV/f/w=")</f>
        <v>#REF!</v>
      </c>
      <c r="IT5" t="e">
        <f>AND(#REF!,"AAAAAHV/f/0=")</f>
        <v>#REF!</v>
      </c>
      <c r="IU5" t="e">
        <f>AND(#REF!,"AAAAAHV/f/4=")</f>
        <v>#REF!</v>
      </c>
      <c r="IV5" t="e">
        <f>IF(#REF!,"AAAAAHV/f/8=",0)</f>
        <v>#REF!</v>
      </c>
    </row>
    <row r="6" spans="1:256" x14ac:dyDescent="0.2">
      <c r="A6" t="e">
        <f>AND(#REF!,"AAAAAF/nHQA=")</f>
        <v>#REF!</v>
      </c>
      <c r="B6" t="e">
        <f>AND(#REF!,"AAAAAF/nHQE=")</f>
        <v>#REF!</v>
      </c>
      <c r="C6" t="e">
        <f>AND(#REF!,"AAAAAF/nHQI=")</f>
        <v>#REF!</v>
      </c>
      <c r="D6" t="e">
        <f>AND(#REF!,"AAAAAF/nHQM=")</f>
        <v>#REF!</v>
      </c>
      <c r="E6" t="e">
        <f>AND(#REF!,"AAAAAF/nHQQ=")</f>
        <v>#REF!</v>
      </c>
      <c r="F6" t="e">
        <f>AND(#REF!,"AAAAAF/nHQU=")</f>
        <v>#REF!</v>
      </c>
      <c r="G6" t="e">
        <f>AND(#REF!,"AAAAAF/nHQY=")</f>
        <v>#REF!</v>
      </c>
      <c r="H6" t="e">
        <f>AND(#REF!,"AAAAAF/nHQc=")</f>
        <v>#REF!</v>
      </c>
      <c r="I6" t="e">
        <f>AND(#REF!,"AAAAAF/nHQg=")</f>
        <v>#REF!</v>
      </c>
      <c r="J6" t="e">
        <f>AND(#REF!,"AAAAAF/nHQk=")</f>
        <v>#REF!</v>
      </c>
      <c r="K6" t="e">
        <f>AND(#REF!,"AAAAAF/nHQo=")</f>
        <v>#REF!</v>
      </c>
      <c r="L6" t="e">
        <f>AND(#REF!,"AAAAAF/nHQs=")</f>
        <v>#REF!</v>
      </c>
      <c r="M6" t="e">
        <f>AND(#REF!,"AAAAAF/nHQw=")</f>
        <v>#REF!</v>
      </c>
      <c r="N6" t="e">
        <f>IF(#REF!,"AAAAAF/nHQ0=",0)</f>
        <v>#REF!</v>
      </c>
      <c r="O6" t="e">
        <f>AND(#REF!,"AAAAAF/nHQ4=")</f>
        <v>#REF!</v>
      </c>
      <c r="P6" t="e">
        <f>AND(#REF!,"AAAAAF/nHQ8=")</f>
        <v>#REF!</v>
      </c>
      <c r="Q6" t="e">
        <f>AND(#REF!,"AAAAAF/nHRA=")</f>
        <v>#REF!</v>
      </c>
      <c r="R6" t="e">
        <f>AND(#REF!,"AAAAAF/nHRE=")</f>
        <v>#REF!</v>
      </c>
      <c r="S6" t="e">
        <f>AND(#REF!,"AAAAAF/nHRI=")</f>
        <v>#REF!</v>
      </c>
      <c r="T6" t="e">
        <f>AND(#REF!,"AAAAAF/nHRM=")</f>
        <v>#REF!</v>
      </c>
      <c r="U6" t="e">
        <f>AND(#REF!,"AAAAAF/nHRQ=")</f>
        <v>#REF!</v>
      </c>
      <c r="V6" t="e">
        <f>AND(#REF!,"AAAAAF/nHRU=")</f>
        <v>#REF!</v>
      </c>
      <c r="W6" t="e">
        <f>AND(#REF!,"AAAAAF/nHRY=")</f>
        <v>#REF!</v>
      </c>
      <c r="X6" t="e">
        <f>AND(#REF!,"AAAAAF/nHRc=")</f>
        <v>#REF!</v>
      </c>
      <c r="Y6" t="e">
        <f>AND(#REF!,"AAAAAF/nHRg=")</f>
        <v>#REF!</v>
      </c>
      <c r="Z6" t="e">
        <f>AND(#REF!,"AAAAAF/nHRk=")</f>
        <v>#REF!</v>
      </c>
      <c r="AA6" t="e">
        <f>AND(#REF!,"AAAAAF/nHRo=")</f>
        <v>#REF!</v>
      </c>
      <c r="AB6" t="e">
        <f>IF(#REF!,"AAAAAF/nHRs=",0)</f>
        <v>#REF!</v>
      </c>
      <c r="AC6" t="e">
        <f>IF(#REF!,"AAAAAF/nHRw=",0)</f>
        <v>#REF!</v>
      </c>
      <c r="AD6" t="e">
        <f>IF(#REF!,"AAAAAF/nHR0=",0)</f>
        <v>#REF!</v>
      </c>
      <c r="AE6" t="e">
        <f>IF(#REF!,"AAAAAF/nHR4=",0)</f>
        <v>#REF!</v>
      </c>
      <c r="AF6" t="e">
        <f>IF(#REF!,"AAAAAF/nHR8=",0)</f>
        <v>#REF!</v>
      </c>
      <c r="AG6" t="e">
        <f>IF(#REF!,"AAAAAF/nHSA=",0)</f>
        <v>#REF!</v>
      </c>
      <c r="AH6" t="e">
        <f>IF(#REF!,"AAAAAF/nHSE=",0)</f>
        <v>#REF!</v>
      </c>
      <c r="AI6" t="e">
        <f>IF(#REF!,"AAAAAF/nHSI=",0)</f>
        <v>#REF!</v>
      </c>
      <c r="AJ6" t="e">
        <f>IF(#REF!,"AAAAAF/nHSM=",0)</f>
        <v>#REF!</v>
      </c>
      <c r="AK6" t="e">
        <f>IF(#REF!,"AAAAAF/nHSQ=",0)</f>
        <v>#REF!</v>
      </c>
      <c r="AL6" t="e">
        <f>IF(#REF!,"AAAAAF/nHSU=",0)</f>
        <v>#REF!</v>
      </c>
      <c r="AM6" t="e">
        <f>IF(#REF!,"AAAAAF/nHSY=",0)</f>
        <v>#REF!</v>
      </c>
      <c r="AN6" t="e">
        <f>IF(#REF!,"AAAAAF/nHSc=",0)</f>
        <v>#REF!</v>
      </c>
      <c r="AO6" t="e">
        <f>IF(#REF!,"AAAAAF/nHSg=",0)</f>
        <v>#REF!</v>
      </c>
      <c r="AP6" t="e">
        <f>IF(#REF!,"AAAAAF/nHSk=",0)</f>
        <v>#REF!</v>
      </c>
      <c r="AQ6" t="e">
        <f>IF(#REF!,"AAAAAF/nHSo=",0)</f>
        <v>#REF!</v>
      </c>
      <c r="AR6" t="e">
        <f>IF(#REF!,"AAAAAF/nHSs=",0)</f>
        <v>#REF!</v>
      </c>
      <c r="AS6" t="e">
        <f>AND(#REF!,"AAAAAF/nHSw=")</f>
        <v>#REF!</v>
      </c>
      <c r="AT6" t="e">
        <f>AND(#REF!,"AAAAAF/nHS0=")</f>
        <v>#REF!</v>
      </c>
      <c r="AU6" t="e">
        <f>AND(#REF!,"AAAAAF/nHS4=")</f>
        <v>#REF!</v>
      </c>
      <c r="AV6" t="e">
        <f>AND(#REF!,"AAAAAF/nHS8=")</f>
        <v>#REF!</v>
      </c>
      <c r="AW6" t="e">
        <f>AND(#REF!,"AAAAAF/nHTA=")</f>
        <v>#REF!</v>
      </c>
      <c r="AX6" t="e">
        <f>AND(#REF!,"AAAAAF/nHTE=")</f>
        <v>#REF!</v>
      </c>
      <c r="AY6" t="e">
        <f>AND(#REF!,"AAAAAF/nHTI=")</f>
        <v>#REF!</v>
      </c>
      <c r="AZ6" t="e">
        <f>AND(#REF!,"AAAAAF/nHTM=")</f>
        <v>#REF!</v>
      </c>
      <c r="BA6" t="e">
        <f>AND(#REF!,"AAAAAF/nHTQ=")</f>
        <v>#REF!</v>
      </c>
      <c r="BB6" t="e">
        <f>AND(#REF!,"AAAAAF/nHTU=")</f>
        <v>#REF!</v>
      </c>
      <c r="BC6" t="e">
        <f>AND(#REF!,"AAAAAF/nHTY=")</f>
        <v>#REF!</v>
      </c>
      <c r="BD6" t="e">
        <f>AND(#REF!,"AAAAAF/nHTc=")</f>
        <v>#REF!</v>
      </c>
      <c r="BE6" t="e">
        <f>AND(#REF!,"AAAAAF/nHTg=")</f>
        <v>#REF!</v>
      </c>
      <c r="BF6" t="e">
        <f>AND(#REF!,"AAAAAF/nHTk=")</f>
        <v>#REF!</v>
      </c>
      <c r="BG6" t="e">
        <f>AND(#REF!,"AAAAAF/nHTo=")</f>
        <v>#REF!</v>
      </c>
      <c r="BH6" t="e">
        <f>AND(#REF!,"AAAAAF/nHTs=")</f>
        <v>#REF!</v>
      </c>
      <c r="BI6" t="e">
        <f>AND(#REF!,"AAAAAF/nHTw=")</f>
        <v>#REF!</v>
      </c>
      <c r="BJ6" t="e">
        <f>AND(#REF!,"AAAAAF/nHT0=")</f>
        <v>#REF!</v>
      </c>
      <c r="BK6" t="e">
        <f>IF(#REF!,"AAAAAF/nHT4=",0)</f>
        <v>#REF!</v>
      </c>
      <c r="BL6" t="e">
        <f>AND(#REF!,"AAAAAF/nHT8=")</f>
        <v>#REF!</v>
      </c>
      <c r="BM6" t="e">
        <f>AND(#REF!,"AAAAAF/nHUA=")</f>
        <v>#REF!</v>
      </c>
      <c r="BN6" t="e">
        <f>AND(#REF!,"AAAAAF/nHUE=")</f>
        <v>#REF!</v>
      </c>
      <c r="BO6" t="e">
        <f>AND(#REF!,"AAAAAF/nHUI=")</f>
        <v>#REF!</v>
      </c>
      <c r="BP6" t="e">
        <f>AND(#REF!,"AAAAAF/nHUM=")</f>
        <v>#REF!</v>
      </c>
      <c r="BQ6" t="e">
        <f>AND(#REF!,"AAAAAF/nHUQ=")</f>
        <v>#REF!</v>
      </c>
      <c r="BR6" t="e">
        <f>AND(#REF!,"AAAAAF/nHUU=")</f>
        <v>#REF!</v>
      </c>
      <c r="BS6" t="e">
        <f>AND(#REF!,"AAAAAF/nHUY=")</f>
        <v>#REF!</v>
      </c>
      <c r="BT6" t="e">
        <f>AND(#REF!,"AAAAAF/nHUc=")</f>
        <v>#REF!</v>
      </c>
      <c r="BU6" t="e">
        <f>AND(#REF!,"AAAAAF/nHUg=")</f>
        <v>#REF!</v>
      </c>
      <c r="BV6" t="e">
        <f>AND(#REF!,"AAAAAF/nHUk=")</f>
        <v>#REF!</v>
      </c>
      <c r="BW6" t="e">
        <f>AND(#REF!,"AAAAAF/nHUo=")</f>
        <v>#REF!</v>
      </c>
      <c r="BX6" t="e">
        <f>AND(#REF!,"AAAAAF/nHUs=")</f>
        <v>#REF!</v>
      </c>
      <c r="BY6" t="e">
        <f>AND(#REF!,"AAAAAF/nHUw=")</f>
        <v>#REF!</v>
      </c>
      <c r="BZ6" t="e">
        <f>AND(#REF!,"AAAAAF/nHU0=")</f>
        <v>#REF!</v>
      </c>
      <c r="CA6" t="e">
        <f>AND(#REF!,"AAAAAF/nHU4=")</f>
        <v>#REF!</v>
      </c>
      <c r="CB6" t="e">
        <f>AND(#REF!,"AAAAAF/nHU8=")</f>
        <v>#REF!</v>
      </c>
      <c r="CC6" t="e">
        <f>AND(#REF!,"AAAAAF/nHVA=")</f>
        <v>#REF!</v>
      </c>
      <c r="CD6" t="e">
        <f>IF(#REF!,"AAAAAF/nHVE=",0)</f>
        <v>#REF!</v>
      </c>
      <c r="CE6" t="e">
        <f>AND(#REF!,"AAAAAF/nHVI=")</f>
        <v>#REF!</v>
      </c>
      <c r="CF6" t="e">
        <f>AND(#REF!,"AAAAAF/nHVM=")</f>
        <v>#REF!</v>
      </c>
      <c r="CG6" t="e">
        <f>AND(#REF!,"AAAAAF/nHVQ=")</f>
        <v>#REF!</v>
      </c>
      <c r="CH6" t="e">
        <f>AND(#REF!,"AAAAAF/nHVU=")</f>
        <v>#REF!</v>
      </c>
      <c r="CI6" t="e">
        <f>AND(#REF!,"AAAAAF/nHVY=")</f>
        <v>#REF!</v>
      </c>
      <c r="CJ6" t="e">
        <f>AND(#REF!,"AAAAAF/nHVc=")</f>
        <v>#REF!</v>
      </c>
      <c r="CK6" t="e">
        <f>AND(#REF!,"AAAAAF/nHVg=")</f>
        <v>#REF!</v>
      </c>
      <c r="CL6" t="e">
        <f>AND(#REF!,"AAAAAF/nHVk=")</f>
        <v>#REF!</v>
      </c>
      <c r="CM6" t="e">
        <f>AND(#REF!,"AAAAAF/nHVo=")</f>
        <v>#REF!</v>
      </c>
      <c r="CN6" t="e">
        <f>AND(#REF!,"AAAAAF/nHVs=")</f>
        <v>#REF!</v>
      </c>
      <c r="CO6" t="e">
        <f>AND(#REF!,"AAAAAF/nHVw=")</f>
        <v>#REF!</v>
      </c>
      <c r="CP6" t="e">
        <f>AND(#REF!,"AAAAAF/nHV0=")</f>
        <v>#REF!</v>
      </c>
      <c r="CQ6" t="e">
        <f>AND(#REF!,"AAAAAF/nHV4=")</f>
        <v>#REF!</v>
      </c>
      <c r="CR6" t="e">
        <f>AND(#REF!,"AAAAAF/nHV8=")</f>
        <v>#REF!</v>
      </c>
      <c r="CS6" t="e">
        <f>AND(#REF!,"AAAAAF/nHWA=")</f>
        <v>#REF!</v>
      </c>
      <c r="CT6" t="e">
        <f>AND(#REF!,"AAAAAF/nHWE=")</f>
        <v>#REF!</v>
      </c>
      <c r="CU6" t="e">
        <f>AND(#REF!,"AAAAAF/nHWI=")</f>
        <v>#REF!</v>
      </c>
      <c r="CV6" t="e">
        <f>AND(#REF!,"AAAAAF/nHWM=")</f>
        <v>#REF!</v>
      </c>
      <c r="CW6" t="e">
        <f>IF(#REF!,"AAAAAF/nHWQ=",0)</f>
        <v>#REF!</v>
      </c>
      <c r="CX6" t="e">
        <f>AND(#REF!,"AAAAAF/nHWU=")</f>
        <v>#REF!</v>
      </c>
      <c r="CY6" t="e">
        <f>AND(#REF!,"AAAAAF/nHWY=")</f>
        <v>#REF!</v>
      </c>
      <c r="CZ6" t="e">
        <f>AND(#REF!,"AAAAAF/nHWc=")</f>
        <v>#REF!</v>
      </c>
      <c r="DA6" t="e">
        <f>AND(#REF!,"AAAAAF/nHWg=")</f>
        <v>#REF!</v>
      </c>
      <c r="DB6" t="e">
        <f>AND(#REF!,"AAAAAF/nHWk=")</f>
        <v>#REF!</v>
      </c>
      <c r="DC6" t="e">
        <f>AND(#REF!,"AAAAAF/nHWo=")</f>
        <v>#REF!</v>
      </c>
      <c r="DD6" t="e">
        <f>AND(#REF!,"AAAAAF/nHWs=")</f>
        <v>#REF!</v>
      </c>
      <c r="DE6" t="e">
        <f>AND(#REF!,"AAAAAF/nHWw=")</f>
        <v>#REF!</v>
      </c>
      <c r="DF6" t="e">
        <f>AND(#REF!,"AAAAAF/nHW0=")</f>
        <v>#REF!</v>
      </c>
      <c r="DG6" t="e">
        <f>AND(#REF!,"AAAAAF/nHW4=")</f>
        <v>#REF!</v>
      </c>
      <c r="DH6" t="e">
        <f>AND(#REF!,"AAAAAF/nHW8=")</f>
        <v>#REF!</v>
      </c>
      <c r="DI6" t="e">
        <f>AND(#REF!,"AAAAAF/nHXA=")</f>
        <v>#REF!</v>
      </c>
      <c r="DJ6" t="e">
        <f>AND(#REF!,"AAAAAF/nHXE=")</f>
        <v>#REF!</v>
      </c>
      <c r="DK6" t="e">
        <f>AND(#REF!,"AAAAAF/nHXI=")</f>
        <v>#REF!</v>
      </c>
      <c r="DL6" t="e">
        <f>AND(#REF!,"AAAAAF/nHXM=")</f>
        <v>#REF!</v>
      </c>
      <c r="DM6" t="e">
        <f>AND(#REF!,"AAAAAF/nHXQ=")</f>
        <v>#REF!</v>
      </c>
      <c r="DN6" t="e">
        <f>AND(#REF!,"AAAAAF/nHXU=")</f>
        <v>#REF!</v>
      </c>
      <c r="DO6" t="e">
        <f>AND(#REF!,"AAAAAF/nHXY=")</f>
        <v>#REF!</v>
      </c>
      <c r="DP6" t="e">
        <f>IF(#REF!,"AAAAAF/nHXc=",0)</f>
        <v>#REF!</v>
      </c>
      <c r="DQ6" t="e">
        <f>AND(#REF!,"AAAAAF/nHXg=")</f>
        <v>#REF!</v>
      </c>
      <c r="DR6" t="e">
        <f>AND(#REF!,"AAAAAF/nHXk=")</f>
        <v>#REF!</v>
      </c>
      <c r="DS6" t="e">
        <f>AND(#REF!,"AAAAAF/nHXo=")</f>
        <v>#REF!</v>
      </c>
      <c r="DT6" t="e">
        <f>AND(#REF!,"AAAAAF/nHXs=")</f>
        <v>#REF!</v>
      </c>
      <c r="DU6" t="e">
        <f>AND(#REF!,"AAAAAF/nHXw=")</f>
        <v>#REF!</v>
      </c>
      <c r="DV6" t="e">
        <f>AND(#REF!,"AAAAAF/nHX0=")</f>
        <v>#REF!</v>
      </c>
      <c r="DW6" t="e">
        <f>AND(#REF!,"AAAAAF/nHX4=")</f>
        <v>#REF!</v>
      </c>
      <c r="DX6" t="e">
        <f>AND(#REF!,"AAAAAF/nHX8=")</f>
        <v>#REF!</v>
      </c>
      <c r="DY6" t="e">
        <f>AND(#REF!,"AAAAAF/nHYA=")</f>
        <v>#REF!</v>
      </c>
      <c r="DZ6" t="e">
        <f>AND(#REF!,"AAAAAF/nHYE=")</f>
        <v>#REF!</v>
      </c>
      <c r="EA6" t="e">
        <f>AND(#REF!,"AAAAAF/nHYI=")</f>
        <v>#REF!</v>
      </c>
      <c r="EB6" t="e">
        <f>AND(#REF!,"AAAAAF/nHYM=")</f>
        <v>#REF!</v>
      </c>
      <c r="EC6" t="e">
        <f>AND(#REF!,"AAAAAF/nHYQ=")</f>
        <v>#REF!</v>
      </c>
      <c r="ED6" t="e">
        <f>AND(#REF!,"AAAAAF/nHYU=")</f>
        <v>#REF!</v>
      </c>
      <c r="EE6" t="e">
        <f>AND(#REF!,"AAAAAF/nHYY=")</f>
        <v>#REF!</v>
      </c>
      <c r="EF6" t="e">
        <f>AND(#REF!,"AAAAAF/nHYc=")</f>
        <v>#REF!</v>
      </c>
      <c r="EG6" t="e">
        <f>AND(#REF!,"AAAAAF/nHYg=")</f>
        <v>#REF!</v>
      </c>
      <c r="EH6" t="e">
        <f>AND(#REF!,"AAAAAF/nHYk=")</f>
        <v>#REF!</v>
      </c>
      <c r="EI6" t="e">
        <f>IF(#REF!,"AAAAAF/nHYo=",0)</f>
        <v>#REF!</v>
      </c>
      <c r="EJ6" t="e">
        <f>AND(#REF!,"AAAAAF/nHYs=")</f>
        <v>#REF!</v>
      </c>
      <c r="EK6" t="e">
        <f>AND(#REF!,"AAAAAF/nHYw=")</f>
        <v>#REF!</v>
      </c>
      <c r="EL6" t="e">
        <f>AND(#REF!,"AAAAAF/nHY0=")</f>
        <v>#REF!</v>
      </c>
      <c r="EM6" t="e">
        <f>AND(#REF!,"AAAAAF/nHY4=")</f>
        <v>#REF!</v>
      </c>
      <c r="EN6" t="e">
        <f>AND(#REF!,"AAAAAF/nHY8=")</f>
        <v>#REF!</v>
      </c>
      <c r="EO6" t="e">
        <f>AND(#REF!,"AAAAAF/nHZA=")</f>
        <v>#REF!</v>
      </c>
      <c r="EP6" t="e">
        <f>AND(#REF!,"AAAAAF/nHZE=")</f>
        <v>#REF!</v>
      </c>
      <c r="EQ6" t="e">
        <f>AND(#REF!,"AAAAAF/nHZI=")</f>
        <v>#REF!</v>
      </c>
      <c r="ER6" t="e">
        <f>AND(#REF!,"AAAAAF/nHZM=")</f>
        <v>#REF!</v>
      </c>
      <c r="ES6" t="e">
        <f>AND(#REF!,"AAAAAF/nHZQ=")</f>
        <v>#REF!</v>
      </c>
      <c r="ET6" t="e">
        <f>AND(#REF!,"AAAAAF/nHZU=")</f>
        <v>#REF!</v>
      </c>
      <c r="EU6" t="e">
        <f>AND(#REF!,"AAAAAF/nHZY=")</f>
        <v>#REF!</v>
      </c>
      <c r="EV6" t="e">
        <f>AND(#REF!,"AAAAAF/nHZc=")</f>
        <v>#REF!</v>
      </c>
      <c r="EW6" t="e">
        <f>AND(#REF!,"AAAAAF/nHZg=")</f>
        <v>#REF!</v>
      </c>
      <c r="EX6" t="e">
        <f>AND(#REF!,"AAAAAF/nHZk=")</f>
        <v>#REF!</v>
      </c>
      <c r="EY6" t="e">
        <f>AND(#REF!,"AAAAAF/nHZo=")</f>
        <v>#REF!</v>
      </c>
      <c r="EZ6" t="e">
        <f>AND(#REF!,"AAAAAF/nHZs=")</f>
        <v>#REF!</v>
      </c>
      <c r="FA6" t="e">
        <f>AND(#REF!,"AAAAAF/nHZw=")</f>
        <v>#REF!</v>
      </c>
      <c r="FB6" t="e">
        <f>IF(#REF!,"AAAAAF/nHZ0=",0)</f>
        <v>#REF!</v>
      </c>
      <c r="FC6" t="e">
        <f>AND(#REF!,"AAAAAF/nHZ4=")</f>
        <v>#REF!</v>
      </c>
      <c r="FD6" t="e">
        <f>AND(#REF!,"AAAAAF/nHZ8=")</f>
        <v>#REF!</v>
      </c>
      <c r="FE6" t="e">
        <f>AND(#REF!,"AAAAAF/nHaA=")</f>
        <v>#REF!</v>
      </c>
      <c r="FF6" t="e">
        <f>AND(#REF!,"AAAAAF/nHaE=")</f>
        <v>#REF!</v>
      </c>
      <c r="FG6" t="e">
        <f>AND(#REF!,"AAAAAF/nHaI=")</f>
        <v>#REF!</v>
      </c>
      <c r="FH6" t="e">
        <f>AND(#REF!,"AAAAAF/nHaM=")</f>
        <v>#REF!</v>
      </c>
      <c r="FI6" t="e">
        <f>AND(#REF!,"AAAAAF/nHaQ=")</f>
        <v>#REF!</v>
      </c>
      <c r="FJ6" t="e">
        <f>AND(#REF!,"AAAAAF/nHaU=")</f>
        <v>#REF!</v>
      </c>
      <c r="FK6" t="e">
        <f>AND(#REF!,"AAAAAF/nHaY=")</f>
        <v>#REF!</v>
      </c>
      <c r="FL6" t="e">
        <f>AND(#REF!,"AAAAAF/nHac=")</f>
        <v>#REF!</v>
      </c>
      <c r="FM6" t="e">
        <f>AND(#REF!,"AAAAAF/nHag=")</f>
        <v>#REF!</v>
      </c>
      <c r="FN6" t="e">
        <f>AND(#REF!,"AAAAAF/nHak=")</f>
        <v>#REF!</v>
      </c>
      <c r="FO6" t="e">
        <f>AND(#REF!,"AAAAAF/nHao=")</f>
        <v>#REF!</v>
      </c>
      <c r="FP6" t="e">
        <f>AND(#REF!,"AAAAAF/nHas=")</f>
        <v>#REF!</v>
      </c>
      <c r="FQ6" t="e">
        <f>AND(#REF!,"AAAAAF/nHaw=")</f>
        <v>#REF!</v>
      </c>
      <c r="FR6" t="e">
        <f>AND(#REF!,"AAAAAF/nHa0=")</f>
        <v>#REF!</v>
      </c>
      <c r="FS6" t="e">
        <f>AND(#REF!,"AAAAAF/nHa4=")</f>
        <v>#REF!</v>
      </c>
      <c r="FT6" t="e">
        <f>AND(#REF!,"AAAAAF/nHa8=")</f>
        <v>#REF!</v>
      </c>
      <c r="FU6" t="e">
        <f>IF(#REF!,"AAAAAF/nHbA=",0)</f>
        <v>#REF!</v>
      </c>
      <c r="FV6" t="e">
        <f>AND(#REF!,"AAAAAF/nHbE=")</f>
        <v>#REF!</v>
      </c>
      <c r="FW6" t="e">
        <f>AND(#REF!,"AAAAAF/nHbI=")</f>
        <v>#REF!</v>
      </c>
      <c r="FX6" t="e">
        <f>AND(#REF!,"AAAAAF/nHbM=")</f>
        <v>#REF!</v>
      </c>
      <c r="FY6" t="e">
        <f>AND(#REF!,"AAAAAF/nHbQ=")</f>
        <v>#REF!</v>
      </c>
      <c r="FZ6" t="e">
        <f>AND(#REF!,"AAAAAF/nHbU=")</f>
        <v>#REF!</v>
      </c>
      <c r="GA6" t="e">
        <f>AND(#REF!,"AAAAAF/nHbY=")</f>
        <v>#REF!</v>
      </c>
      <c r="GB6" t="e">
        <f>AND(#REF!,"AAAAAF/nHbc=")</f>
        <v>#REF!</v>
      </c>
      <c r="GC6" t="e">
        <f>AND(#REF!,"AAAAAF/nHbg=")</f>
        <v>#REF!</v>
      </c>
      <c r="GD6" t="e">
        <f>AND(#REF!,"AAAAAF/nHbk=")</f>
        <v>#REF!</v>
      </c>
      <c r="GE6" t="e">
        <f>AND(#REF!,"AAAAAF/nHbo=")</f>
        <v>#REF!</v>
      </c>
      <c r="GF6" t="e">
        <f>AND(#REF!,"AAAAAF/nHbs=")</f>
        <v>#REF!</v>
      </c>
      <c r="GG6" t="e">
        <f>AND(#REF!,"AAAAAF/nHbw=")</f>
        <v>#REF!</v>
      </c>
      <c r="GH6" t="e">
        <f>AND(#REF!,"AAAAAF/nHb0=")</f>
        <v>#REF!</v>
      </c>
      <c r="GI6" t="e">
        <f>AND(#REF!,"AAAAAF/nHb4=")</f>
        <v>#REF!</v>
      </c>
      <c r="GJ6" t="e">
        <f>AND(#REF!,"AAAAAF/nHb8=")</f>
        <v>#REF!</v>
      </c>
      <c r="GK6" t="e">
        <f>AND(#REF!,"AAAAAF/nHcA=")</f>
        <v>#REF!</v>
      </c>
      <c r="GL6" t="e">
        <f>AND(#REF!,"AAAAAF/nHcE=")</f>
        <v>#REF!</v>
      </c>
      <c r="GM6" t="e">
        <f>AND(#REF!,"AAAAAF/nHcI=")</f>
        <v>#REF!</v>
      </c>
      <c r="GN6" t="e">
        <f>IF(#REF!,"AAAAAF/nHcM=",0)</f>
        <v>#REF!</v>
      </c>
      <c r="GO6" t="e">
        <f>AND(#REF!,"AAAAAF/nHcQ=")</f>
        <v>#REF!</v>
      </c>
      <c r="GP6" t="e">
        <f>AND(#REF!,"AAAAAF/nHcU=")</f>
        <v>#REF!</v>
      </c>
      <c r="GQ6" t="e">
        <f>AND(#REF!,"AAAAAF/nHcY=")</f>
        <v>#REF!</v>
      </c>
      <c r="GR6" t="e">
        <f>AND(#REF!,"AAAAAF/nHcc=")</f>
        <v>#REF!</v>
      </c>
      <c r="GS6" t="e">
        <f>AND(#REF!,"AAAAAF/nHcg=")</f>
        <v>#REF!</v>
      </c>
      <c r="GT6" t="e">
        <f>AND(#REF!,"AAAAAF/nHck=")</f>
        <v>#REF!</v>
      </c>
      <c r="GU6" t="e">
        <f>AND(#REF!,"AAAAAF/nHco=")</f>
        <v>#REF!</v>
      </c>
      <c r="GV6" t="e">
        <f>AND(#REF!,"AAAAAF/nHcs=")</f>
        <v>#REF!</v>
      </c>
      <c r="GW6" t="e">
        <f>AND(#REF!,"AAAAAF/nHcw=")</f>
        <v>#REF!</v>
      </c>
      <c r="GX6" t="e">
        <f>AND(#REF!,"AAAAAF/nHc0=")</f>
        <v>#REF!</v>
      </c>
      <c r="GY6" t="e">
        <f>AND(#REF!,"AAAAAF/nHc4=")</f>
        <v>#REF!</v>
      </c>
      <c r="GZ6" t="e">
        <f>AND(#REF!,"AAAAAF/nHc8=")</f>
        <v>#REF!</v>
      </c>
      <c r="HA6" t="e">
        <f>AND(#REF!,"AAAAAF/nHdA=")</f>
        <v>#REF!</v>
      </c>
      <c r="HB6" t="e">
        <f>AND(#REF!,"AAAAAF/nHdE=")</f>
        <v>#REF!</v>
      </c>
      <c r="HC6" t="e">
        <f>AND(#REF!,"AAAAAF/nHdI=")</f>
        <v>#REF!</v>
      </c>
      <c r="HD6" t="e">
        <f>AND(#REF!,"AAAAAF/nHdM=")</f>
        <v>#REF!</v>
      </c>
      <c r="HE6" t="e">
        <f>AND(#REF!,"AAAAAF/nHdQ=")</f>
        <v>#REF!</v>
      </c>
      <c r="HF6" t="e">
        <f>AND(#REF!,"AAAAAF/nHdU=")</f>
        <v>#REF!</v>
      </c>
      <c r="HG6" t="e">
        <f>IF(#REF!,"AAAAAF/nHdY=",0)</f>
        <v>#REF!</v>
      </c>
      <c r="HH6" t="e">
        <f>AND(#REF!,"AAAAAF/nHdc=")</f>
        <v>#REF!</v>
      </c>
      <c r="HI6" t="e">
        <f>AND(#REF!,"AAAAAF/nHdg=")</f>
        <v>#REF!</v>
      </c>
      <c r="HJ6" t="e">
        <f>AND(#REF!,"AAAAAF/nHdk=")</f>
        <v>#REF!</v>
      </c>
      <c r="HK6" t="e">
        <f>AND(#REF!,"AAAAAF/nHdo=")</f>
        <v>#REF!</v>
      </c>
      <c r="HL6" t="e">
        <f>AND(#REF!,"AAAAAF/nHds=")</f>
        <v>#REF!</v>
      </c>
      <c r="HM6" t="e">
        <f>AND(#REF!,"AAAAAF/nHdw=")</f>
        <v>#REF!</v>
      </c>
      <c r="HN6" t="e">
        <f>AND(#REF!,"AAAAAF/nHd0=")</f>
        <v>#REF!</v>
      </c>
      <c r="HO6" t="e">
        <f>AND(#REF!,"AAAAAF/nHd4=")</f>
        <v>#REF!</v>
      </c>
      <c r="HP6" t="e">
        <f>AND(#REF!,"AAAAAF/nHd8=")</f>
        <v>#REF!</v>
      </c>
      <c r="HQ6" t="e">
        <f>AND(#REF!,"AAAAAF/nHeA=")</f>
        <v>#REF!</v>
      </c>
      <c r="HR6" t="e">
        <f>AND(#REF!,"AAAAAF/nHeE=")</f>
        <v>#REF!</v>
      </c>
      <c r="HS6" t="e">
        <f>AND(#REF!,"AAAAAF/nHeI=")</f>
        <v>#REF!</v>
      </c>
      <c r="HT6" t="e">
        <f>AND(#REF!,"AAAAAF/nHeM=")</f>
        <v>#REF!</v>
      </c>
      <c r="HU6" t="e">
        <f>AND(#REF!,"AAAAAF/nHeQ=")</f>
        <v>#REF!</v>
      </c>
      <c r="HV6" t="e">
        <f>AND(#REF!,"AAAAAF/nHeU=")</f>
        <v>#REF!</v>
      </c>
      <c r="HW6" t="e">
        <f>AND(#REF!,"AAAAAF/nHeY=")</f>
        <v>#REF!</v>
      </c>
      <c r="HX6" t="e">
        <f>AND(#REF!,"AAAAAF/nHec=")</f>
        <v>#REF!</v>
      </c>
      <c r="HY6" t="e">
        <f>AND(#REF!,"AAAAAF/nHeg=")</f>
        <v>#REF!</v>
      </c>
      <c r="HZ6" t="e">
        <f>IF(#REF!,"AAAAAF/nHek=",0)</f>
        <v>#REF!</v>
      </c>
      <c r="IA6" t="e">
        <f>AND(#REF!,"AAAAAF/nHeo=")</f>
        <v>#REF!</v>
      </c>
      <c r="IB6" t="e">
        <f>AND(#REF!,"AAAAAF/nHes=")</f>
        <v>#REF!</v>
      </c>
      <c r="IC6" t="e">
        <f>AND(#REF!,"AAAAAF/nHew=")</f>
        <v>#REF!</v>
      </c>
      <c r="ID6" t="e">
        <f>AND(#REF!,"AAAAAF/nHe0=")</f>
        <v>#REF!</v>
      </c>
      <c r="IE6" t="e">
        <f>AND(#REF!,"AAAAAF/nHe4=")</f>
        <v>#REF!</v>
      </c>
      <c r="IF6" t="e">
        <f>AND(#REF!,"AAAAAF/nHe8=")</f>
        <v>#REF!</v>
      </c>
      <c r="IG6" t="e">
        <f>AND(#REF!,"AAAAAF/nHfA=")</f>
        <v>#REF!</v>
      </c>
      <c r="IH6" t="e">
        <f>AND(#REF!,"AAAAAF/nHfE=")</f>
        <v>#REF!</v>
      </c>
      <c r="II6" t="e">
        <f>AND(#REF!,"AAAAAF/nHfI=")</f>
        <v>#REF!</v>
      </c>
      <c r="IJ6" t="e">
        <f>AND(#REF!,"AAAAAF/nHfM=")</f>
        <v>#REF!</v>
      </c>
      <c r="IK6" t="e">
        <f>AND(#REF!,"AAAAAF/nHfQ=")</f>
        <v>#REF!</v>
      </c>
      <c r="IL6" t="e">
        <f>AND(#REF!,"AAAAAF/nHfU=")</f>
        <v>#REF!</v>
      </c>
      <c r="IM6" t="e">
        <f>AND(#REF!,"AAAAAF/nHfY=")</f>
        <v>#REF!</v>
      </c>
      <c r="IN6" t="e">
        <f>AND(#REF!,"AAAAAF/nHfc=")</f>
        <v>#REF!</v>
      </c>
      <c r="IO6" t="e">
        <f>AND(#REF!,"AAAAAF/nHfg=")</f>
        <v>#REF!</v>
      </c>
      <c r="IP6" t="e">
        <f>AND(#REF!,"AAAAAF/nHfk=")</f>
        <v>#REF!</v>
      </c>
      <c r="IQ6" t="e">
        <f>AND(#REF!,"AAAAAF/nHfo=")</f>
        <v>#REF!</v>
      </c>
      <c r="IR6" t="e">
        <f>AND(#REF!,"AAAAAF/nHfs=")</f>
        <v>#REF!</v>
      </c>
      <c r="IS6" t="e">
        <f>IF(#REF!,"AAAAAF/nHfw=",0)</f>
        <v>#REF!</v>
      </c>
      <c r="IT6" t="e">
        <f>AND(#REF!,"AAAAAF/nHf0=")</f>
        <v>#REF!</v>
      </c>
      <c r="IU6" t="e">
        <f>AND(#REF!,"AAAAAF/nHf4=")</f>
        <v>#REF!</v>
      </c>
      <c r="IV6" t="e">
        <f>AND(#REF!,"AAAAAF/nHf8=")</f>
        <v>#REF!</v>
      </c>
    </row>
    <row r="7" spans="1:256" x14ac:dyDescent="0.2">
      <c r="A7" t="e">
        <f>AND(#REF!,"AAAAAH3HvAA=")</f>
        <v>#REF!</v>
      </c>
      <c r="B7" t="e">
        <f>AND(#REF!,"AAAAAH3HvAE=")</f>
        <v>#REF!</v>
      </c>
      <c r="C7" t="e">
        <f>AND(#REF!,"AAAAAH3HvAI=")</f>
        <v>#REF!</v>
      </c>
      <c r="D7" t="e">
        <f>AND(#REF!,"AAAAAH3HvAM=")</f>
        <v>#REF!</v>
      </c>
      <c r="E7" t="e">
        <f>AND(#REF!,"AAAAAH3HvAQ=")</f>
        <v>#REF!</v>
      </c>
      <c r="F7" t="e">
        <f>AND(#REF!,"AAAAAH3HvAU=")</f>
        <v>#REF!</v>
      </c>
      <c r="G7" t="e">
        <f>AND(#REF!,"AAAAAH3HvAY=")</f>
        <v>#REF!</v>
      </c>
      <c r="H7" t="e">
        <f>AND(#REF!,"AAAAAH3HvAc=")</f>
        <v>#REF!</v>
      </c>
      <c r="I7" t="e">
        <f>AND(#REF!,"AAAAAH3HvAg=")</f>
        <v>#REF!</v>
      </c>
      <c r="J7" t="e">
        <f>AND(#REF!,"AAAAAH3HvAk=")</f>
        <v>#REF!</v>
      </c>
      <c r="K7" t="e">
        <f>AND(#REF!,"AAAAAH3HvAo=")</f>
        <v>#REF!</v>
      </c>
      <c r="L7" t="e">
        <f>AND(#REF!,"AAAAAH3HvAs=")</f>
        <v>#REF!</v>
      </c>
      <c r="M7" t="e">
        <f>AND(#REF!,"AAAAAH3HvAw=")</f>
        <v>#REF!</v>
      </c>
      <c r="N7" t="e">
        <f>AND(#REF!,"AAAAAH3HvA0=")</f>
        <v>#REF!</v>
      </c>
      <c r="O7" t="e">
        <f>AND(#REF!,"AAAAAH3HvA4=")</f>
        <v>#REF!</v>
      </c>
      <c r="P7" t="e">
        <f>IF(#REF!,"AAAAAH3HvA8=",0)</f>
        <v>#REF!</v>
      </c>
      <c r="Q7" t="e">
        <f>AND(#REF!,"AAAAAH3HvBA=")</f>
        <v>#REF!</v>
      </c>
      <c r="R7" t="e">
        <f>AND(#REF!,"AAAAAH3HvBE=")</f>
        <v>#REF!</v>
      </c>
      <c r="S7" t="e">
        <f>AND(#REF!,"AAAAAH3HvBI=")</f>
        <v>#REF!</v>
      </c>
      <c r="T7" t="e">
        <f>AND(#REF!,"AAAAAH3HvBM=")</f>
        <v>#REF!</v>
      </c>
      <c r="U7" t="e">
        <f>AND(#REF!,"AAAAAH3HvBQ=")</f>
        <v>#REF!</v>
      </c>
      <c r="V7" t="e">
        <f>AND(#REF!,"AAAAAH3HvBU=")</f>
        <v>#REF!</v>
      </c>
      <c r="W7" t="e">
        <f>AND(#REF!,"AAAAAH3HvBY=")</f>
        <v>#REF!</v>
      </c>
      <c r="X7" t="e">
        <f>AND(#REF!,"AAAAAH3HvBc=")</f>
        <v>#REF!</v>
      </c>
      <c r="Y7" t="e">
        <f>AND(#REF!,"AAAAAH3HvBg=")</f>
        <v>#REF!</v>
      </c>
      <c r="Z7" t="e">
        <f>AND(#REF!,"AAAAAH3HvBk=")</f>
        <v>#REF!</v>
      </c>
      <c r="AA7" t="e">
        <f>AND(#REF!,"AAAAAH3HvBo=")</f>
        <v>#REF!</v>
      </c>
      <c r="AB7" t="e">
        <f>AND(#REF!,"AAAAAH3HvBs=")</f>
        <v>#REF!</v>
      </c>
      <c r="AC7" t="e">
        <f>AND(#REF!,"AAAAAH3HvBw=")</f>
        <v>#REF!</v>
      </c>
      <c r="AD7" t="e">
        <f>AND(#REF!,"AAAAAH3HvB0=")</f>
        <v>#REF!</v>
      </c>
      <c r="AE7" t="e">
        <f>AND(#REF!,"AAAAAH3HvB4=")</f>
        <v>#REF!</v>
      </c>
      <c r="AF7" t="e">
        <f>AND(#REF!,"AAAAAH3HvB8=")</f>
        <v>#REF!</v>
      </c>
      <c r="AG7" t="e">
        <f>AND(#REF!,"AAAAAH3HvCA=")</f>
        <v>#REF!</v>
      </c>
      <c r="AH7" t="e">
        <f>AND(#REF!,"AAAAAH3HvCE=")</f>
        <v>#REF!</v>
      </c>
      <c r="AI7" t="e">
        <f>IF(#REF!,"AAAAAH3HvCI=",0)</f>
        <v>#REF!</v>
      </c>
      <c r="AJ7" t="e">
        <f>AND(#REF!,"AAAAAH3HvCM=")</f>
        <v>#REF!</v>
      </c>
      <c r="AK7" t="e">
        <f>AND(#REF!,"AAAAAH3HvCQ=")</f>
        <v>#REF!</v>
      </c>
      <c r="AL7" t="e">
        <f>AND(#REF!,"AAAAAH3HvCU=")</f>
        <v>#REF!</v>
      </c>
      <c r="AM7" t="e">
        <f>AND(#REF!,"AAAAAH3HvCY=")</f>
        <v>#REF!</v>
      </c>
      <c r="AN7" t="e">
        <f>AND(#REF!,"AAAAAH3HvCc=")</f>
        <v>#REF!</v>
      </c>
      <c r="AO7" t="e">
        <f>AND(#REF!,"AAAAAH3HvCg=")</f>
        <v>#REF!</v>
      </c>
      <c r="AP7" t="e">
        <f>AND(#REF!,"AAAAAH3HvCk=")</f>
        <v>#REF!</v>
      </c>
      <c r="AQ7" t="e">
        <f>AND(#REF!,"AAAAAH3HvCo=")</f>
        <v>#REF!</v>
      </c>
      <c r="AR7" t="e">
        <f>AND(#REF!,"AAAAAH3HvCs=")</f>
        <v>#REF!</v>
      </c>
      <c r="AS7" t="e">
        <f>AND(#REF!,"AAAAAH3HvCw=")</f>
        <v>#REF!</v>
      </c>
      <c r="AT7" t="e">
        <f>AND(#REF!,"AAAAAH3HvC0=")</f>
        <v>#REF!</v>
      </c>
      <c r="AU7" t="e">
        <f>AND(#REF!,"AAAAAH3HvC4=")</f>
        <v>#REF!</v>
      </c>
      <c r="AV7" t="e">
        <f>AND(#REF!,"AAAAAH3HvC8=")</f>
        <v>#REF!</v>
      </c>
      <c r="AW7" t="e">
        <f>AND(#REF!,"AAAAAH3HvDA=")</f>
        <v>#REF!</v>
      </c>
      <c r="AX7" t="e">
        <f>AND(#REF!,"AAAAAH3HvDE=")</f>
        <v>#REF!</v>
      </c>
      <c r="AY7" t="e">
        <f>AND(#REF!,"AAAAAH3HvDI=")</f>
        <v>#REF!</v>
      </c>
      <c r="AZ7" t="e">
        <f>AND(#REF!,"AAAAAH3HvDM=")</f>
        <v>#REF!</v>
      </c>
      <c r="BA7" t="e">
        <f>AND(#REF!,"AAAAAH3HvDQ=")</f>
        <v>#REF!</v>
      </c>
      <c r="BB7" t="e">
        <f>IF(#REF!,"AAAAAH3HvDU=",0)</f>
        <v>#REF!</v>
      </c>
      <c r="BC7" t="e">
        <f>AND(#REF!,"AAAAAH3HvDY=")</f>
        <v>#REF!</v>
      </c>
      <c r="BD7" t="e">
        <f>AND(#REF!,"AAAAAH3HvDc=")</f>
        <v>#REF!</v>
      </c>
      <c r="BE7" t="e">
        <f>AND(#REF!,"AAAAAH3HvDg=")</f>
        <v>#REF!</v>
      </c>
      <c r="BF7" t="e">
        <f>AND(#REF!,"AAAAAH3HvDk=")</f>
        <v>#REF!</v>
      </c>
      <c r="BG7" t="e">
        <f>AND(#REF!,"AAAAAH3HvDo=")</f>
        <v>#REF!</v>
      </c>
      <c r="BH7" t="e">
        <f>AND(#REF!,"AAAAAH3HvDs=")</f>
        <v>#REF!</v>
      </c>
      <c r="BI7" t="e">
        <f>AND(#REF!,"AAAAAH3HvDw=")</f>
        <v>#REF!</v>
      </c>
      <c r="BJ7" t="e">
        <f>AND(#REF!,"AAAAAH3HvD0=")</f>
        <v>#REF!</v>
      </c>
      <c r="BK7" t="e">
        <f>AND(#REF!,"AAAAAH3HvD4=")</f>
        <v>#REF!</v>
      </c>
      <c r="BL7" t="e">
        <f>AND(#REF!,"AAAAAH3HvD8=")</f>
        <v>#REF!</v>
      </c>
      <c r="BM7" t="e">
        <f>AND(#REF!,"AAAAAH3HvEA=")</f>
        <v>#REF!</v>
      </c>
      <c r="BN7" t="e">
        <f>AND(#REF!,"AAAAAH3HvEE=")</f>
        <v>#REF!</v>
      </c>
      <c r="BO7" t="e">
        <f>AND(#REF!,"AAAAAH3HvEI=")</f>
        <v>#REF!</v>
      </c>
      <c r="BP7" t="e">
        <f>AND(#REF!,"AAAAAH3HvEM=")</f>
        <v>#REF!</v>
      </c>
      <c r="BQ7" t="e">
        <f>AND(#REF!,"AAAAAH3HvEQ=")</f>
        <v>#REF!</v>
      </c>
      <c r="BR7" t="e">
        <f>AND(#REF!,"AAAAAH3HvEU=")</f>
        <v>#REF!</v>
      </c>
      <c r="BS7" t="e">
        <f>AND(#REF!,"AAAAAH3HvEY=")</f>
        <v>#REF!</v>
      </c>
      <c r="BT7" t="e">
        <f>AND(#REF!,"AAAAAH3HvEc=")</f>
        <v>#REF!</v>
      </c>
      <c r="BU7" t="e">
        <f>IF(#REF!,"AAAAAH3HvEg=",0)</f>
        <v>#REF!</v>
      </c>
      <c r="BV7" t="e">
        <f>AND(#REF!,"AAAAAH3HvEk=")</f>
        <v>#REF!</v>
      </c>
      <c r="BW7" t="e">
        <f>AND(#REF!,"AAAAAH3HvEo=")</f>
        <v>#REF!</v>
      </c>
      <c r="BX7" t="e">
        <f>AND(#REF!,"AAAAAH3HvEs=")</f>
        <v>#REF!</v>
      </c>
      <c r="BY7" t="e">
        <f>AND(#REF!,"AAAAAH3HvEw=")</f>
        <v>#REF!</v>
      </c>
      <c r="BZ7" t="e">
        <f>AND(#REF!,"AAAAAH3HvE0=")</f>
        <v>#REF!</v>
      </c>
      <c r="CA7" t="e">
        <f>AND(#REF!,"AAAAAH3HvE4=")</f>
        <v>#REF!</v>
      </c>
      <c r="CB7" t="e">
        <f>AND(#REF!,"AAAAAH3HvE8=")</f>
        <v>#REF!</v>
      </c>
      <c r="CC7" t="e">
        <f>AND(#REF!,"AAAAAH3HvFA=")</f>
        <v>#REF!</v>
      </c>
      <c r="CD7" t="e">
        <f>IF(#REF!,"AAAAAH3HvFE=",0)</f>
        <v>#REF!</v>
      </c>
      <c r="CE7" t="e">
        <f>AND(#REF!,"AAAAAH3HvFI=")</f>
        <v>#REF!</v>
      </c>
      <c r="CF7" t="e">
        <f>AND(#REF!,"AAAAAH3HvFM=")</f>
        <v>#REF!</v>
      </c>
      <c r="CG7" t="e">
        <f>AND(#REF!,"AAAAAH3HvFQ=")</f>
        <v>#REF!</v>
      </c>
      <c r="CH7" t="e">
        <f>AND(#REF!,"AAAAAH3HvFU=")</f>
        <v>#REF!</v>
      </c>
      <c r="CI7" t="e">
        <f>AND(#REF!,"AAAAAH3HvFY=")</f>
        <v>#REF!</v>
      </c>
      <c r="CJ7" t="e">
        <f>AND(#REF!,"AAAAAH3HvFc=")</f>
        <v>#REF!</v>
      </c>
      <c r="CK7" t="e">
        <f>AND(#REF!,"AAAAAH3HvFg=")</f>
        <v>#REF!</v>
      </c>
      <c r="CL7" t="e">
        <f>AND(#REF!,"AAAAAH3HvFk=")</f>
        <v>#REF!</v>
      </c>
      <c r="CM7" t="e">
        <f>IF(#REF!,"AAAAAH3HvFo=",0)</f>
        <v>#REF!</v>
      </c>
      <c r="CN7" t="e">
        <f>AND(#REF!,"AAAAAH3HvFs=")</f>
        <v>#REF!</v>
      </c>
      <c r="CO7" t="e">
        <f>AND(#REF!,"AAAAAH3HvFw=")</f>
        <v>#REF!</v>
      </c>
      <c r="CP7" t="e">
        <f>AND(#REF!,"AAAAAH3HvF0=")</f>
        <v>#REF!</v>
      </c>
      <c r="CQ7" t="e">
        <f>AND(#REF!,"AAAAAH3HvF4=")</f>
        <v>#REF!</v>
      </c>
      <c r="CR7" t="e">
        <f>AND(#REF!,"AAAAAH3HvF8=")</f>
        <v>#REF!</v>
      </c>
      <c r="CS7" t="e">
        <f>AND(#REF!,"AAAAAH3HvGA=")</f>
        <v>#REF!</v>
      </c>
      <c r="CT7" t="e">
        <f>AND(#REF!,"AAAAAH3HvGE=")</f>
        <v>#REF!</v>
      </c>
      <c r="CU7" t="e">
        <f>AND(#REF!,"AAAAAH3HvGI=")</f>
        <v>#REF!</v>
      </c>
      <c r="CV7" t="e">
        <f>IF(#REF!,"AAAAAH3HvGM=",0)</f>
        <v>#REF!</v>
      </c>
      <c r="CW7" t="e">
        <f>AND(#REF!,"AAAAAH3HvGQ=")</f>
        <v>#REF!</v>
      </c>
      <c r="CX7" t="e">
        <f>AND(#REF!,"AAAAAH3HvGU=")</f>
        <v>#REF!</v>
      </c>
      <c r="CY7" t="e">
        <f>AND(#REF!,"AAAAAH3HvGY=")</f>
        <v>#REF!</v>
      </c>
      <c r="CZ7" t="e">
        <f>AND(#REF!,"AAAAAH3HvGc=")</f>
        <v>#REF!</v>
      </c>
      <c r="DA7" t="e">
        <f>AND(#REF!,"AAAAAH3HvGg=")</f>
        <v>#REF!</v>
      </c>
      <c r="DB7" t="e">
        <f>AND(#REF!,"AAAAAH3HvGk=")</f>
        <v>#REF!</v>
      </c>
      <c r="DC7" t="e">
        <f>AND(#REF!,"AAAAAH3HvGo=")</f>
        <v>#REF!</v>
      </c>
      <c r="DD7" t="e">
        <f>AND(#REF!,"AAAAAH3HvGs=")</f>
        <v>#REF!</v>
      </c>
      <c r="DE7" t="e">
        <f>IF(#REF!,"AAAAAH3HvGw=",0)</f>
        <v>#REF!</v>
      </c>
      <c r="DF7" t="e">
        <f>AND(#REF!,"AAAAAH3HvG0=")</f>
        <v>#REF!</v>
      </c>
      <c r="DG7" t="e">
        <f>AND(#REF!,"AAAAAH3HvG4=")</f>
        <v>#REF!</v>
      </c>
      <c r="DH7" t="e">
        <f>AND(#REF!,"AAAAAH3HvG8=")</f>
        <v>#REF!</v>
      </c>
      <c r="DI7" t="e">
        <f>AND(#REF!,"AAAAAH3HvHA=")</f>
        <v>#REF!</v>
      </c>
      <c r="DJ7" t="e">
        <f>AND(#REF!,"AAAAAH3HvHE=")</f>
        <v>#REF!</v>
      </c>
      <c r="DK7" t="e">
        <f>AND(#REF!,"AAAAAH3HvHI=")</f>
        <v>#REF!</v>
      </c>
      <c r="DL7" t="e">
        <f>AND(#REF!,"AAAAAH3HvHM=")</f>
        <v>#REF!</v>
      </c>
      <c r="DM7" t="e">
        <f>AND(#REF!,"AAAAAH3HvHQ=")</f>
        <v>#REF!</v>
      </c>
      <c r="DN7" t="e">
        <f>IF(#REF!,"AAAAAH3HvHU=",0)</f>
        <v>#REF!</v>
      </c>
      <c r="DO7" t="e">
        <f>AND(#REF!,"AAAAAH3HvHY=")</f>
        <v>#REF!</v>
      </c>
      <c r="DP7" t="e">
        <f>AND(#REF!,"AAAAAH3HvHc=")</f>
        <v>#REF!</v>
      </c>
      <c r="DQ7" t="e">
        <f>AND(#REF!,"AAAAAH3HvHg=")</f>
        <v>#REF!</v>
      </c>
      <c r="DR7" t="e">
        <f>AND(#REF!,"AAAAAH3HvHk=")</f>
        <v>#REF!</v>
      </c>
      <c r="DS7" t="e">
        <f>AND(#REF!,"AAAAAH3HvHo=")</f>
        <v>#REF!</v>
      </c>
      <c r="DT7" t="e">
        <f>AND(#REF!,"AAAAAH3HvHs=")</f>
        <v>#REF!</v>
      </c>
      <c r="DU7" t="e">
        <f>AND(#REF!,"AAAAAH3HvHw=")</f>
        <v>#REF!</v>
      </c>
      <c r="DV7" t="e">
        <f>AND(#REF!,"AAAAAH3HvH0=")</f>
        <v>#REF!</v>
      </c>
      <c r="DW7" t="e">
        <f>IF(#REF!,"AAAAAH3HvH4=",0)</f>
        <v>#REF!</v>
      </c>
      <c r="DX7" t="e">
        <f>AND(#REF!,"AAAAAH3HvH8=")</f>
        <v>#REF!</v>
      </c>
      <c r="DY7" t="e">
        <f>AND(#REF!,"AAAAAH3HvIA=")</f>
        <v>#REF!</v>
      </c>
      <c r="DZ7" t="e">
        <f>AND(#REF!,"AAAAAH3HvIE=")</f>
        <v>#REF!</v>
      </c>
      <c r="EA7" t="e">
        <f>AND(#REF!,"AAAAAH3HvII=")</f>
        <v>#REF!</v>
      </c>
      <c r="EB7" t="e">
        <f>AND(#REF!,"AAAAAH3HvIM=")</f>
        <v>#REF!</v>
      </c>
      <c r="EC7" t="e">
        <f>AND(#REF!,"AAAAAH3HvIQ=")</f>
        <v>#REF!</v>
      </c>
      <c r="ED7" t="e">
        <f>AND(#REF!,"AAAAAH3HvIU=")</f>
        <v>#REF!</v>
      </c>
      <c r="EE7" t="e">
        <f>AND(#REF!,"AAAAAH3HvIY=")</f>
        <v>#REF!</v>
      </c>
      <c r="EF7" t="e">
        <f>IF(#REF!,"AAAAAH3HvIc=",0)</f>
        <v>#REF!</v>
      </c>
      <c r="EG7" t="e">
        <f>AND(#REF!,"AAAAAH3HvIg=")</f>
        <v>#REF!</v>
      </c>
      <c r="EH7" t="e">
        <f>AND(#REF!,"AAAAAH3HvIk=")</f>
        <v>#REF!</v>
      </c>
      <c r="EI7" t="e">
        <f>AND(#REF!,"AAAAAH3HvIo=")</f>
        <v>#REF!</v>
      </c>
      <c r="EJ7" t="e">
        <f>AND(#REF!,"AAAAAH3HvIs=")</f>
        <v>#REF!</v>
      </c>
      <c r="EK7" t="e">
        <f>AND(#REF!,"AAAAAH3HvIw=")</f>
        <v>#REF!</v>
      </c>
      <c r="EL7" t="e">
        <f>AND(#REF!,"AAAAAH3HvI0=")</f>
        <v>#REF!</v>
      </c>
      <c r="EM7" t="e">
        <f>AND(#REF!,"AAAAAH3HvI4=")</f>
        <v>#REF!</v>
      </c>
      <c r="EN7" t="e">
        <f>AND(#REF!,"AAAAAH3HvI8=")</f>
        <v>#REF!</v>
      </c>
      <c r="EO7" t="e">
        <f>IF(#REF!,"AAAAAH3HvJA=",0)</f>
        <v>#REF!</v>
      </c>
      <c r="EP7" t="e">
        <f>AND(#REF!,"AAAAAH3HvJE=")</f>
        <v>#REF!</v>
      </c>
      <c r="EQ7" t="e">
        <f>AND(#REF!,"AAAAAH3HvJI=")</f>
        <v>#REF!</v>
      </c>
      <c r="ER7" t="e">
        <f>AND(#REF!,"AAAAAH3HvJM=")</f>
        <v>#REF!</v>
      </c>
      <c r="ES7" t="e">
        <f>AND(#REF!,"AAAAAH3HvJQ=")</f>
        <v>#REF!</v>
      </c>
      <c r="ET7" t="e">
        <f>AND(#REF!,"AAAAAH3HvJU=")</f>
        <v>#REF!</v>
      </c>
      <c r="EU7" t="e">
        <f>AND(#REF!,"AAAAAH3HvJY=")</f>
        <v>#REF!</v>
      </c>
      <c r="EV7" t="e">
        <f>AND(#REF!,"AAAAAH3HvJc=")</f>
        <v>#REF!</v>
      </c>
      <c r="EW7" t="e">
        <f>AND(#REF!,"AAAAAH3HvJg=")</f>
        <v>#REF!</v>
      </c>
      <c r="EX7" t="e">
        <f>IF(#REF!,"AAAAAH3HvJk=",0)</f>
        <v>#REF!</v>
      </c>
      <c r="EY7" t="e">
        <f>AND(#REF!,"AAAAAH3HvJo=")</f>
        <v>#REF!</v>
      </c>
      <c r="EZ7" t="e">
        <f>AND(#REF!,"AAAAAH3HvJs=")</f>
        <v>#REF!</v>
      </c>
      <c r="FA7" t="e">
        <f>AND(#REF!,"AAAAAH3HvJw=")</f>
        <v>#REF!</v>
      </c>
      <c r="FB7" t="e">
        <f>AND(#REF!,"AAAAAH3HvJ0=")</f>
        <v>#REF!</v>
      </c>
      <c r="FC7" t="e">
        <f>AND(#REF!,"AAAAAH3HvJ4=")</f>
        <v>#REF!</v>
      </c>
      <c r="FD7" t="e">
        <f>AND(#REF!,"AAAAAH3HvJ8=")</f>
        <v>#REF!</v>
      </c>
      <c r="FE7" t="e">
        <f>AND(#REF!,"AAAAAH3HvKA=")</f>
        <v>#REF!</v>
      </c>
      <c r="FF7" t="e">
        <f>AND(#REF!,"AAAAAH3HvKE=")</f>
        <v>#REF!</v>
      </c>
      <c r="FG7" t="e">
        <f>IF(#REF!,"AAAAAH3HvKI=",0)</f>
        <v>#REF!</v>
      </c>
      <c r="FH7" t="e">
        <f>AND(#REF!,"AAAAAH3HvKM=")</f>
        <v>#REF!</v>
      </c>
      <c r="FI7" t="e">
        <f>AND(#REF!,"AAAAAH3HvKQ=")</f>
        <v>#REF!</v>
      </c>
      <c r="FJ7" t="e">
        <f>AND(#REF!,"AAAAAH3HvKU=")</f>
        <v>#REF!</v>
      </c>
      <c r="FK7" t="e">
        <f>AND(#REF!,"AAAAAH3HvKY=")</f>
        <v>#REF!</v>
      </c>
      <c r="FL7" t="e">
        <f>AND(#REF!,"AAAAAH3HvKc=")</f>
        <v>#REF!</v>
      </c>
      <c r="FM7" t="e">
        <f>AND(#REF!,"AAAAAH3HvKg=")</f>
        <v>#REF!</v>
      </c>
      <c r="FN7" t="e">
        <f>AND(#REF!,"AAAAAH3HvKk=")</f>
        <v>#REF!</v>
      </c>
      <c r="FO7" t="e">
        <f>AND(#REF!,"AAAAAH3HvKo=")</f>
        <v>#REF!</v>
      </c>
      <c r="FP7" t="e">
        <f>IF(#REF!,"AAAAAH3HvKs=",0)</f>
        <v>#REF!</v>
      </c>
      <c r="FQ7" t="e">
        <f>AND(#REF!,"AAAAAH3HvKw=")</f>
        <v>#REF!</v>
      </c>
      <c r="FR7" t="e">
        <f>AND(#REF!,"AAAAAH3HvK0=")</f>
        <v>#REF!</v>
      </c>
      <c r="FS7" t="e">
        <f>AND(#REF!,"AAAAAH3HvK4=")</f>
        <v>#REF!</v>
      </c>
      <c r="FT7" t="e">
        <f>AND(#REF!,"AAAAAH3HvK8=")</f>
        <v>#REF!</v>
      </c>
      <c r="FU7" t="e">
        <f>AND(#REF!,"AAAAAH3HvLA=")</f>
        <v>#REF!</v>
      </c>
      <c r="FV7" t="e">
        <f>AND(#REF!,"AAAAAH3HvLE=")</f>
        <v>#REF!</v>
      </c>
      <c r="FW7" t="e">
        <f>AND(#REF!,"AAAAAH3HvLI=")</f>
        <v>#REF!</v>
      </c>
      <c r="FX7" t="e">
        <f>AND(#REF!,"AAAAAH3HvLM=")</f>
        <v>#REF!</v>
      </c>
      <c r="FY7" t="e">
        <f>IF(#REF!,"AAAAAH3HvLQ=",0)</f>
        <v>#REF!</v>
      </c>
      <c r="FZ7" t="e">
        <f>AND(#REF!,"AAAAAH3HvLU=")</f>
        <v>#REF!</v>
      </c>
      <c r="GA7" t="e">
        <f>AND(#REF!,"AAAAAH3HvLY=")</f>
        <v>#REF!</v>
      </c>
      <c r="GB7" t="e">
        <f>AND(#REF!,"AAAAAH3HvLc=")</f>
        <v>#REF!</v>
      </c>
      <c r="GC7" t="e">
        <f>AND(#REF!,"AAAAAH3HvLg=")</f>
        <v>#REF!</v>
      </c>
      <c r="GD7" t="e">
        <f>AND(#REF!,"AAAAAH3HvLk=")</f>
        <v>#REF!</v>
      </c>
      <c r="GE7" t="e">
        <f>AND(#REF!,"AAAAAH3HvLo=")</f>
        <v>#REF!</v>
      </c>
      <c r="GF7" t="e">
        <f>AND(#REF!,"AAAAAH3HvLs=")</f>
        <v>#REF!</v>
      </c>
      <c r="GG7" t="e">
        <f>AND(#REF!,"AAAAAH3HvLw=")</f>
        <v>#REF!</v>
      </c>
      <c r="GH7" t="e">
        <f>IF(#REF!,"AAAAAH3HvL0=",0)</f>
        <v>#REF!</v>
      </c>
      <c r="GI7" t="e">
        <f>AND(#REF!,"AAAAAH3HvL4=")</f>
        <v>#REF!</v>
      </c>
      <c r="GJ7" t="e">
        <f>AND(#REF!,"AAAAAH3HvL8=")</f>
        <v>#REF!</v>
      </c>
      <c r="GK7" t="e">
        <f>AND(#REF!,"AAAAAH3HvMA=")</f>
        <v>#REF!</v>
      </c>
      <c r="GL7" t="e">
        <f>AND(#REF!,"AAAAAH3HvME=")</f>
        <v>#REF!</v>
      </c>
      <c r="GM7" t="e">
        <f>AND(#REF!,"AAAAAH3HvMI=")</f>
        <v>#REF!</v>
      </c>
      <c r="GN7" t="e">
        <f>AND(#REF!,"AAAAAH3HvMM=")</f>
        <v>#REF!</v>
      </c>
      <c r="GO7" t="e">
        <f>AND(#REF!,"AAAAAH3HvMQ=")</f>
        <v>#REF!</v>
      </c>
      <c r="GP7" t="e">
        <f>AND(#REF!,"AAAAAH3HvMU=")</f>
        <v>#REF!</v>
      </c>
      <c r="GQ7" t="e">
        <f>IF(#REF!,"AAAAAH3HvMY=",0)</f>
        <v>#REF!</v>
      </c>
      <c r="GR7" t="e">
        <f>AND(#REF!,"AAAAAH3HvMc=")</f>
        <v>#REF!</v>
      </c>
      <c r="GS7" t="e">
        <f>AND(#REF!,"AAAAAH3HvMg=")</f>
        <v>#REF!</v>
      </c>
      <c r="GT7" t="e">
        <f>AND(#REF!,"AAAAAH3HvMk=")</f>
        <v>#REF!</v>
      </c>
      <c r="GU7" t="e">
        <f>AND(#REF!,"AAAAAH3HvMo=")</f>
        <v>#REF!</v>
      </c>
      <c r="GV7" t="e">
        <f>AND(#REF!,"AAAAAH3HvMs=")</f>
        <v>#REF!</v>
      </c>
      <c r="GW7" t="e">
        <f>AND(#REF!,"AAAAAH3HvMw=")</f>
        <v>#REF!</v>
      </c>
      <c r="GX7" t="e">
        <f>AND(#REF!,"AAAAAH3HvM0=")</f>
        <v>#REF!</v>
      </c>
      <c r="GY7" t="e">
        <f>AND(#REF!,"AAAAAH3HvM4=")</f>
        <v>#REF!</v>
      </c>
      <c r="GZ7" t="e">
        <f>IF(#REF!,"AAAAAH3HvM8=",0)</f>
        <v>#REF!</v>
      </c>
      <c r="HA7" t="e">
        <f>AND(#REF!,"AAAAAH3HvNA=")</f>
        <v>#REF!</v>
      </c>
      <c r="HB7" t="e">
        <f>AND(#REF!,"AAAAAH3HvNE=")</f>
        <v>#REF!</v>
      </c>
      <c r="HC7" t="e">
        <f>AND(#REF!,"AAAAAH3HvNI=")</f>
        <v>#REF!</v>
      </c>
      <c r="HD7" t="e">
        <f>AND(#REF!,"AAAAAH3HvNM=")</f>
        <v>#REF!</v>
      </c>
      <c r="HE7" t="e">
        <f>AND(#REF!,"AAAAAH3HvNQ=")</f>
        <v>#REF!</v>
      </c>
      <c r="HF7" t="e">
        <f>AND(#REF!,"AAAAAH3HvNU=")</f>
        <v>#REF!</v>
      </c>
      <c r="HG7" t="e">
        <f>AND(#REF!,"AAAAAH3HvNY=")</f>
        <v>#REF!</v>
      </c>
      <c r="HH7" t="e">
        <f>AND(#REF!,"AAAAAH3HvNc=")</f>
        <v>#REF!</v>
      </c>
      <c r="HI7" t="e">
        <f>IF(#REF!,"AAAAAH3HvNg=",0)</f>
        <v>#REF!</v>
      </c>
      <c r="HJ7" t="e">
        <f>AND(#REF!,"AAAAAH3HvNk=")</f>
        <v>#REF!</v>
      </c>
      <c r="HK7" t="e">
        <f>AND(#REF!,"AAAAAH3HvNo=")</f>
        <v>#REF!</v>
      </c>
      <c r="HL7" t="e">
        <f>AND(#REF!,"AAAAAH3HvNs=")</f>
        <v>#REF!</v>
      </c>
      <c r="HM7" t="e">
        <f>AND(#REF!,"AAAAAH3HvNw=")</f>
        <v>#REF!</v>
      </c>
      <c r="HN7" t="e">
        <f>AND(#REF!,"AAAAAH3HvN0=")</f>
        <v>#REF!</v>
      </c>
      <c r="HO7" t="e">
        <f>AND(#REF!,"AAAAAH3HvN4=")</f>
        <v>#REF!</v>
      </c>
      <c r="HP7" t="e">
        <f>AND(#REF!,"AAAAAH3HvN8=")</f>
        <v>#REF!</v>
      </c>
      <c r="HQ7" t="e">
        <f>AND(#REF!,"AAAAAH3HvOA=")</f>
        <v>#REF!</v>
      </c>
      <c r="HR7" t="e">
        <f>IF(#REF!,"AAAAAH3HvOE=",0)</f>
        <v>#REF!</v>
      </c>
      <c r="HS7" t="e">
        <f>AND(#REF!,"AAAAAH3HvOI=")</f>
        <v>#REF!</v>
      </c>
      <c r="HT7" t="e">
        <f>AND(#REF!,"AAAAAH3HvOM=")</f>
        <v>#REF!</v>
      </c>
      <c r="HU7" t="e">
        <f>AND(#REF!,"AAAAAH3HvOQ=")</f>
        <v>#REF!</v>
      </c>
      <c r="HV7" t="e">
        <f>AND(#REF!,"AAAAAH3HvOU=")</f>
        <v>#REF!</v>
      </c>
      <c r="HW7" t="e">
        <f>AND(#REF!,"AAAAAH3HvOY=")</f>
        <v>#REF!</v>
      </c>
      <c r="HX7" t="e">
        <f>AND(#REF!,"AAAAAH3HvOc=")</f>
        <v>#REF!</v>
      </c>
      <c r="HY7" t="e">
        <f>AND(#REF!,"AAAAAH3HvOg=")</f>
        <v>#REF!</v>
      </c>
      <c r="HZ7" t="e">
        <f>AND(#REF!,"AAAAAH3HvOk=")</f>
        <v>#REF!</v>
      </c>
      <c r="IA7" t="e">
        <f>IF(#REF!,"AAAAAH3HvOo=",0)</f>
        <v>#REF!</v>
      </c>
      <c r="IB7" t="e">
        <f>AND(#REF!,"AAAAAH3HvOs=")</f>
        <v>#REF!</v>
      </c>
      <c r="IC7" t="e">
        <f>AND(#REF!,"AAAAAH3HvOw=")</f>
        <v>#REF!</v>
      </c>
      <c r="ID7" t="e">
        <f>AND(#REF!,"AAAAAH3HvO0=")</f>
        <v>#REF!</v>
      </c>
      <c r="IE7" t="e">
        <f>AND(#REF!,"AAAAAH3HvO4=")</f>
        <v>#REF!</v>
      </c>
      <c r="IF7" t="e">
        <f>AND(#REF!,"AAAAAH3HvO8=")</f>
        <v>#REF!</v>
      </c>
      <c r="IG7" t="e">
        <f>AND(#REF!,"AAAAAH3HvPA=")</f>
        <v>#REF!</v>
      </c>
      <c r="IH7" t="e">
        <f>AND(#REF!,"AAAAAH3HvPE=")</f>
        <v>#REF!</v>
      </c>
      <c r="II7" t="e">
        <f>AND(#REF!,"AAAAAH3HvPI=")</f>
        <v>#REF!</v>
      </c>
      <c r="IJ7" t="e">
        <f>IF(#REF!,"AAAAAH3HvPM=",0)</f>
        <v>#REF!</v>
      </c>
      <c r="IK7" t="e">
        <f>AND(#REF!,"AAAAAH3HvPQ=")</f>
        <v>#REF!</v>
      </c>
      <c r="IL7" t="e">
        <f>AND(#REF!,"AAAAAH3HvPU=")</f>
        <v>#REF!</v>
      </c>
      <c r="IM7" t="e">
        <f>AND(#REF!,"AAAAAH3HvPY=")</f>
        <v>#REF!</v>
      </c>
      <c r="IN7" t="e">
        <f>AND(#REF!,"AAAAAH3HvPc=")</f>
        <v>#REF!</v>
      </c>
      <c r="IO7" t="e">
        <f>AND(#REF!,"AAAAAH3HvPg=")</f>
        <v>#REF!</v>
      </c>
      <c r="IP7" t="e">
        <f>AND(#REF!,"AAAAAH3HvPk=")</f>
        <v>#REF!</v>
      </c>
      <c r="IQ7" t="e">
        <f>AND(#REF!,"AAAAAH3HvPo=")</f>
        <v>#REF!</v>
      </c>
      <c r="IR7" t="e">
        <f>AND(#REF!,"AAAAAH3HvPs=")</f>
        <v>#REF!</v>
      </c>
      <c r="IS7" t="e">
        <f>IF(#REF!,"AAAAAH3HvPw=",0)</f>
        <v>#REF!</v>
      </c>
      <c r="IT7" t="e">
        <f>AND(#REF!,"AAAAAH3HvP0=")</f>
        <v>#REF!</v>
      </c>
      <c r="IU7" t="e">
        <f>AND(#REF!,"AAAAAH3HvP4=")</f>
        <v>#REF!</v>
      </c>
      <c r="IV7" t="e">
        <f>AND(#REF!,"AAAAAH3HvP8=")</f>
        <v>#REF!</v>
      </c>
    </row>
    <row r="8" spans="1:256" x14ac:dyDescent="0.2">
      <c r="A8" t="e">
        <f>AND(#REF!,"AAAAAH7qfQA=")</f>
        <v>#REF!</v>
      </c>
      <c r="B8" t="e">
        <f>AND(#REF!,"AAAAAH7qfQE=")</f>
        <v>#REF!</v>
      </c>
      <c r="C8" t="e">
        <f>AND(#REF!,"AAAAAH7qfQI=")</f>
        <v>#REF!</v>
      </c>
      <c r="D8" t="e">
        <f>AND(#REF!,"AAAAAH7qfQM=")</f>
        <v>#REF!</v>
      </c>
      <c r="E8" t="e">
        <f>AND(#REF!,"AAAAAH7qfQQ=")</f>
        <v>#REF!</v>
      </c>
      <c r="F8" t="e">
        <f>IF(#REF!,"AAAAAH7qfQU=",0)</f>
        <v>#REF!</v>
      </c>
      <c r="G8" t="e">
        <f>AND(#REF!,"AAAAAH7qfQY=")</f>
        <v>#REF!</v>
      </c>
      <c r="H8" t="e">
        <f>AND(#REF!,"AAAAAH7qfQc=")</f>
        <v>#REF!</v>
      </c>
      <c r="I8" t="e">
        <f>AND(#REF!,"AAAAAH7qfQg=")</f>
        <v>#REF!</v>
      </c>
      <c r="J8" t="e">
        <f>AND(#REF!,"AAAAAH7qfQk=")</f>
        <v>#REF!</v>
      </c>
      <c r="K8" t="e">
        <f>AND(#REF!,"AAAAAH7qfQo=")</f>
        <v>#REF!</v>
      </c>
      <c r="L8" t="e">
        <f>AND(#REF!,"AAAAAH7qfQs=")</f>
        <v>#REF!</v>
      </c>
      <c r="M8" t="e">
        <f>AND(#REF!,"AAAAAH7qfQw=")</f>
        <v>#REF!</v>
      </c>
      <c r="N8" t="e">
        <f>AND(#REF!,"AAAAAH7qfQ0=")</f>
        <v>#REF!</v>
      </c>
      <c r="O8" t="e">
        <f>IF(#REF!,"AAAAAH7qfQ4=",0)</f>
        <v>#REF!</v>
      </c>
      <c r="P8" t="e">
        <f>AND(#REF!,"AAAAAH7qfQ8=")</f>
        <v>#REF!</v>
      </c>
      <c r="Q8" t="e">
        <f>AND(#REF!,"AAAAAH7qfRA=")</f>
        <v>#REF!</v>
      </c>
      <c r="R8" t="e">
        <f>AND(#REF!,"AAAAAH7qfRE=")</f>
        <v>#REF!</v>
      </c>
      <c r="S8" t="e">
        <f>AND(#REF!,"AAAAAH7qfRI=")</f>
        <v>#REF!</v>
      </c>
      <c r="T8" t="e">
        <f>AND(#REF!,"AAAAAH7qfRM=")</f>
        <v>#REF!</v>
      </c>
      <c r="U8" t="e">
        <f>AND(#REF!,"AAAAAH7qfRQ=")</f>
        <v>#REF!</v>
      </c>
      <c r="V8" t="e">
        <f>AND(#REF!,"AAAAAH7qfRU=")</f>
        <v>#REF!</v>
      </c>
      <c r="W8" t="e">
        <f>AND(#REF!,"AAAAAH7qfRY=")</f>
        <v>#REF!</v>
      </c>
      <c r="X8" t="e">
        <f>IF(#REF!,"AAAAAH7qfRc=",0)</f>
        <v>#REF!</v>
      </c>
      <c r="Y8" t="e">
        <f>AND(#REF!,"AAAAAH7qfRg=")</f>
        <v>#REF!</v>
      </c>
      <c r="Z8" t="e">
        <f>AND(#REF!,"AAAAAH7qfRk=")</f>
        <v>#REF!</v>
      </c>
      <c r="AA8" t="e">
        <f>AND(#REF!,"AAAAAH7qfRo=")</f>
        <v>#REF!</v>
      </c>
      <c r="AB8" t="e">
        <f>AND(#REF!,"AAAAAH7qfRs=")</f>
        <v>#REF!</v>
      </c>
      <c r="AC8" t="e">
        <f>AND(#REF!,"AAAAAH7qfRw=")</f>
        <v>#REF!</v>
      </c>
      <c r="AD8" t="e">
        <f>AND(#REF!,"AAAAAH7qfR0=")</f>
        <v>#REF!</v>
      </c>
      <c r="AE8" t="e">
        <f>AND(#REF!,"AAAAAH7qfR4=")</f>
        <v>#REF!</v>
      </c>
      <c r="AF8" t="e">
        <f>AND(#REF!,"AAAAAH7qfR8=")</f>
        <v>#REF!</v>
      </c>
      <c r="AG8" t="e">
        <f>IF(#REF!,"AAAAAH7qfSA=",0)</f>
        <v>#REF!</v>
      </c>
      <c r="AH8" t="e">
        <f>AND(#REF!,"AAAAAH7qfSE=")</f>
        <v>#REF!</v>
      </c>
      <c r="AI8" t="e">
        <f>AND(#REF!,"AAAAAH7qfSI=")</f>
        <v>#REF!</v>
      </c>
      <c r="AJ8" t="e">
        <f>AND(#REF!,"AAAAAH7qfSM=")</f>
        <v>#REF!</v>
      </c>
      <c r="AK8" t="e">
        <f>AND(#REF!,"AAAAAH7qfSQ=")</f>
        <v>#REF!</v>
      </c>
      <c r="AL8" t="e">
        <f>AND(#REF!,"AAAAAH7qfSU=")</f>
        <v>#REF!</v>
      </c>
      <c r="AM8" t="e">
        <f>AND(#REF!,"AAAAAH7qfSY=")</f>
        <v>#REF!</v>
      </c>
      <c r="AN8" t="e">
        <f>AND(#REF!,"AAAAAH7qfSc=")</f>
        <v>#REF!</v>
      </c>
      <c r="AO8" t="e">
        <f>AND(#REF!,"AAAAAH7qfSg=")</f>
        <v>#REF!</v>
      </c>
      <c r="AP8" t="e">
        <f>IF(#REF!,"AAAAAH7qfSk=",0)</f>
        <v>#REF!</v>
      </c>
      <c r="AQ8" t="e">
        <f>AND(#REF!,"AAAAAH7qfSo=")</f>
        <v>#REF!</v>
      </c>
      <c r="AR8" t="e">
        <f>AND(#REF!,"AAAAAH7qfSs=")</f>
        <v>#REF!</v>
      </c>
      <c r="AS8" t="e">
        <f>AND(#REF!,"AAAAAH7qfSw=")</f>
        <v>#REF!</v>
      </c>
      <c r="AT8" t="e">
        <f>AND(#REF!,"AAAAAH7qfS0=")</f>
        <v>#REF!</v>
      </c>
      <c r="AU8" t="e">
        <f>AND(#REF!,"AAAAAH7qfS4=")</f>
        <v>#REF!</v>
      </c>
      <c r="AV8" t="e">
        <f>AND(#REF!,"AAAAAH7qfS8=")</f>
        <v>#REF!</v>
      </c>
      <c r="AW8" t="e">
        <f>AND(#REF!,"AAAAAH7qfTA=")</f>
        <v>#REF!</v>
      </c>
      <c r="AX8" t="e">
        <f>AND(#REF!,"AAAAAH7qfTE=")</f>
        <v>#REF!</v>
      </c>
      <c r="AY8" t="e">
        <f>IF(#REF!,"AAAAAH7qfTI=",0)</f>
        <v>#REF!</v>
      </c>
      <c r="AZ8" t="e">
        <f>AND(#REF!,"AAAAAH7qfTM=")</f>
        <v>#REF!</v>
      </c>
      <c r="BA8" t="e">
        <f>AND(#REF!,"AAAAAH7qfTQ=")</f>
        <v>#REF!</v>
      </c>
      <c r="BB8" t="e">
        <f>AND(#REF!,"AAAAAH7qfTU=")</f>
        <v>#REF!</v>
      </c>
      <c r="BC8" t="e">
        <f>AND(#REF!,"AAAAAH7qfTY=")</f>
        <v>#REF!</v>
      </c>
      <c r="BD8" t="e">
        <f>AND(#REF!,"AAAAAH7qfTc=")</f>
        <v>#REF!</v>
      </c>
      <c r="BE8" t="e">
        <f>AND(#REF!,"AAAAAH7qfTg=")</f>
        <v>#REF!</v>
      </c>
      <c r="BF8" t="e">
        <f>AND(#REF!,"AAAAAH7qfTk=")</f>
        <v>#REF!</v>
      </c>
      <c r="BG8" t="e">
        <f>AND(#REF!,"AAAAAH7qfTo=")</f>
        <v>#REF!</v>
      </c>
      <c r="BH8" t="e">
        <f>IF(#REF!,"AAAAAH7qfTs=",0)</f>
        <v>#REF!</v>
      </c>
      <c r="BI8" t="e">
        <f>AND(#REF!,"AAAAAH7qfTw=")</f>
        <v>#REF!</v>
      </c>
      <c r="BJ8" t="e">
        <f>AND(#REF!,"AAAAAH7qfT0=")</f>
        <v>#REF!</v>
      </c>
      <c r="BK8" t="e">
        <f>AND(#REF!,"AAAAAH7qfT4=")</f>
        <v>#REF!</v>
      </c>
      <c r="BL8" t="e">
        <f>AND(#REF!,"AAAAAH7qfT8=")</f>
        <v>#REF!</v>
      </c>
      <c r="BM8" t="e">
        <f>AND(#REF!,"AAAAAH7qfUA=")</f>
        <v>#REF!</v>
      </c>
      <c r="BN8" t="e">
        <f>AND(#REF!,"AAAAAH7qfUE=")</f>
        <v>#REF!</v>
      </c>
      <c r="BO8" t="e">
        <f>AND(#REF!,"AAAAAH7qfUI=")</f>
        <v>#REF!</v>
      </c>
      <c r="BP8" t="e">
        <f>AND(#REF!,"AAAAAH7qfUM=")</f>
        <v>#REF!</v>
      </c>
      <c r="BQ8" t="e">
        <f>IF(#REF!,"AAAAAH7qfUQ=",0)</f>
        <v>#REF!</v>
      </c>
      <c r="BR8" t="e">
        <f>AND(#REF!,"AAAAAH7qfUU=")</f>
        <v>#REF!</v>
      </c>
      <c r="BS8" t="e">
        <f>AND(#REF!,"AAAAAH7qfUY=")</f>
        <v>#REF!</v>
      </c>
      <c r="BT8" t="e">
        <f>AND(#REF!,"AAAAAH7qfUc=")</f>
        <v>#REF!</v>
      </c>
      <c r="BU8" t="e">
        <f>AND(#REF!,"AAAAAH7qfUg=")</f>
        <v>#REF!</v>
      </c>
      <c r="BV8" t="e">
        <f>AND(#REF!,"AAAAAH7qfUk=")</f>
        <v>#REF!</v>
      </c>
      <c r="BW8" t="e">
        <f>AND(#REF!,"AAAAAH7qfUo=")</f>
        <v>#REF!</v>
      </c>
      <c r="BX8" t="e">
        <f>AND(#REF!,"AAAAAH7qfUs=")</f>
        <v>#REF!</v>
      </c>
      <c r="BY8" t="e">
        <f>AND(#REF!,"AAAAAH7qfUw=")</f>
        <v>#REF!</v>
      </c>
      <c r="BZ8" t="e">
        <f>IF(#REF!,"AAAAAH7qfU0=",0)</f>
        <v>#REF!</v>
      </c>
      <c r="CA8" t="e">
        <f>AND(#REF!,"AAAAAH7qfU4=")</f>
        <v>#REF!</v>
      </c>
      <c r="CB8" t="e">
        <f>AND(#REF!,"AAAAAH7qfU8=")</f>
        <v>#REF!</v>
      </c>
      <c r="CC8" t="e">
        <f>AND(#REF!,"AAAAAH7qfVA=")</f>
        <v>#REF!</v>
      </c>
      <c r="CD8" t="e">
        <f>AND(#REF!,"AAAAAH7qfVE=")</f>
        <v>#REF!</v>
      </c>
      <c r="CE8" t="e">
        <f>AND(#REF!,"AAAAAH7qfVI=")</f>
        <v>#REF!</v>
      </c>
      <c r="CF8" t="e">
        <f>AND(#REF!,"AAAAAH7qfVM=")</f>
        <v>#REF!</v>
      </c>
      <c r="CG8" t="e">
        <f>AND(#REF!,"AAAAAH7qfVQ=")</f>
        <v>#REF!</v>
      </c>
      <c r="CH8" t="e">
        <f>AND(#REF!,"AAAAAH7qfVU=")</f>
        <v>#REF!</v>
      </c>
      <c r="CI8" t="e">
        <f>IF(#REF!,"AAAAAH7qfVY=",0)</f>
        <v>#REF!</v>
      </c>
      <c r="CJ8" t="e">
        <f>AND(#REF!,"AAAAAH7qfVc=")</f>
        <v>#REF!</v>
      </c>
      <c r="CK8" t="e">
        <f>AND(#REF!,"AAAAAH7qfVg=")</f>
        <v>#REF!</v>
      </c>
      <c r="CL8" t="e">
        <f>AND(#REF!,"AAAAAH7qfVk=")</f>
        <v>#REF!</v>
      </c>
      <c r="CM8" t="e">
        <f>AND(#REF!,"AAAAAH7qfVo=")</f>
        <v>#REF!</v>
      </c>
      <c r="CN8" t="e">
        <f>AND(#REF!,"AAAAAH7qfVs=")</f>
        <v>#REF!</v>
      </c>
      <c r="CO8" t="e">
        <f>AND(#REF!,"AAAAAH7qfVw=")</f>
        <v>#REF!</v>
      </c>
      <c r="CP8" t="e">
        <f>AND(#REF!,"AAAAAH7qfV0=")</f>
        <v>#REF!</v>
      </c>
      <c r="CQ8" t="e">
        <f>AND(#REF!,"AAAAAH7qfV4=")</f>
        <v>#REF!</v>
      </c>
      <c r="CR8" t="e">
        <f>IF(#REF!,"AAAAAH7qfV8=",0)</f>
        <v>#REF!</v>
      </c>
      <c r="CS8" t="e">
        <f>AND(#REF!,"AAAAAH7qfWA=")</f>
        <v>#REF!</v>
      </c>
      <c r="CT8" t="e">
        <f>AND(#REF!,"AAAAAH7qfWE=")</f>
        <v>#REF!</v>
      </c>
      <c r="CU8" t="e">
        <f>AND(#REF!,"AAAAAH7qfWI=")</f>
        <v>#REF!</v>
      </c>
      <c r="CV8" t="e">
        <f>AND(#REF!,"AAAAAH7qfWM=")</f>
        <v>#REF!</v>
      </c>
      <c r="CW8" t="e">
        <f>AND(#REF!,"AAAAAH7qfWQ=")</f>
        <v>#REF!</v>
      </c>
      <c r="CX8" t="e">
        <f>AND(#REF!,"AAAAAH7qfWU=")</f>
        <v>#REF!</v>
      </c>
      <c r="CY8" t="e">
        <f>AND(#REF!,"AAAAAH7qfWY=")</f>
        <v>#REF!</v>
      </c>
      <c r="CZ8" t="e">
        <f>AND(#REF!,"AAAAAH7qfWc=")</f>
        <v>#REF!</v>
      </c>
      <c r="DA8" t="e">
        <f>IF(#REF!,"AAAAAH7qfWg=",0)</f>
        <v>#REF!</v>
      </c>
      <c r="DB8" t="e">
        <f>AND(#REF!,"AAAAAH7qfWk=")</f>
        <v>#REF!</v>
      </c>
      <c r="DC8" t="e">
        <f>AND(#REF!,"AAAAAH7qfWo=")</f>
        <v>#REF!</v>
      </c>
      <c r="DD8" t="e">
        <f>AND(#REF!,"AAAAAH7qfWs=")</f>
        <v>#REF!</v>
      </c>
      <c r="DE8" t="e">
        <f>AND(#REF!,"AAAAAH7qfWw=")</f>
        <v>#REF!</v>
      </c>
      <c r="DF8" t="e">
        <f>AND(#REF!,"AAAAAH7qfW0=")</f>
        <v>#REF!</v>
      </c>
      <c r="DG8" t="e">
        <f>AND(#REF!,"AAAAAH7qfW4=")</f>
        <v>#REF!</v>
      </c>
      <c r="DH8" t="e">
        <f>AND(#REF!,"AAAAAH7qfW8=")</f>
        <v>#REF!</v>
      </c>
      <c r="DI8" t="e">
        <f>AND(#REF!,"AAAAAH7qfXA=")</f>
        <v>#REF!</v>
      </c>
      <c r="DJ8" t="e">
        <f>IF(#REF!,"AAAAAH7qfXE=",0)</f>
        <v>#REF!</v>
      </c>
      <c r="DK8" t="e">
        <f>AND(#REF!,"AAAAAH7qfXI=")</f>
        <v>#REF!</v>
      </c>
      <c r="DL8" t="e">
        <f>AND(#REF!,"AAAAAH7qfXM=")</f>
        <v>#REF!</v>
      </c>
      <c r="DM8" t="e">
        <f>AND(#REF!,"AAAAAH7qfXQ=")</f>
        <v>#REF!</v>
      </c>
      <c r="DN8" t="e">
        <f>AND(#REF!,"AAAAAH7qfXU=")</f>
        <v>#REF!</v>
      </c>
      <c r="DO8" t="e">
        <f>AND(#REF!,"AAAAAH7qfXY=")</f>
        <v>#REF!</v>
      </c>
      <c r="DP8" t="e">
        <f>AND(#REF!,"AAAAAH7qfXc=")</f>
        <v>#REF!</v>
      </c>
      <c r="DQ8" t="e">
        <f>AND(#REF!,"AAAAAH7qfXg=")</f>
        <v>#REF!</v>
      </c>
      <c r="DR8" t="e">
        <f>AND(#REF!,"AAAAAH7qfXk=")</f>
        <v>#REF!</v>
      </c>
      <c r="DS8" t="e">
        <f>IF(#REF!,"AAAAAH7qfXo=",0)</f>
        <v>#REF!</v>
      </c>
      <c r="DT8" t="e">
        <f>AND(#REF!,"AAAAAH7qfXs=")</f>
        <v>#REF!</v>
      </c>
      <c r="DU8" t="e">
        <f>AND(#REF!,"AAAAAH7qfXw=")</f>
        <v>#REF!</v>
      </c>
      <c r="DV8" t="e">
        <f>AND(#REF!,"AAAAAH7qfX0=")</f>
        <v>#REF!</v>
      </c>
      <c r="DW8" t="e">
        <f>AND(#REF!,"AAAAAH7qfX4=")</f>
        <v>#REF!</v>
      </c>
      <c r="DX8" t="e">
        <f>AND(#REF!,"AAAAAH7qfX8=")</f>
        <v>#REF!</v>
      </c>
      <c r="DY8" t="e">
        <f>AND(#REF!,"AAAAAH7qfYA=")</f>
        <v>#REF!</v>
      </c>
      <c r="DZ8" t="e">
        <f>AND(#REF!,"AAAAAH7qfYE=")</f>
        <v>#REF!</v>
      </c>
      <c r="EA8" t="e">
        <f>AND(#REF!,"AAAAAH7qfYI=")</f>
        <v>#REF!</v>
      </c>
      <c r="EB8" t="e">
        <f>IF(#REF!,"AAAAAH7qfYM=",0)</f>
        <v>#REF!</v>
      </c>
      <c r="EC8" t="e">
        <f>AND(#REF!,"AAAAAH7qfYQ=")</f>
        <v>#REF!</v>
      </c>
      <c r="ED8" t="e">
        <f>AND(#REF!,"AAAAAH7qfYU=")</f>
        <v>#REF!</v>
      </c>
      <c r="EE8" t="e">
        <f>AND(#REF!,"AAAAAH7qfYY=")</f>
        <v>#REF!</v>
      </c>
      <c r="EF8" t="e">
        <f>AND(#REF!,"AAAAAH7qfYc=")</f>
        <v>#REF!</v>
      </c>
      <c r="EG8" t="e">
        <f>AND(#REF!,"AAAAAH7qfYg=")</f>
        <v>#REF!</v>
      </c>
      <c r="EH8" t="e">
        <f>AND(#REF!,"AAAAAH7qfYk=")</f>
        <v>#REF!</v>
      </c>
      <c r="EI8" t="e">
        <f>AND(#REF!,"AAAAAH7qfYo=")</f>
        <v>#REF!</v>
      </c>
      <c r="EJ8" t="e">
        <f>AND(#REF!,"AAAAAH7qfYs=")</f>
        <v>#REF!</v>
      </c>
      <c r="EK8" t="e">
        <f>IF(#REF!,"AAAAAH7qfYw=",0)</f>
        <v>#REF!</v>
      </c>
      <c r="EL8" t="e">
        <f>AND(#REF!,"AAAAAH7qfY0=")</f>
        <v>#REF!</v>
      </c>
      <c r="EM8" t="e">
        <f>AND(#REF!,"AAAAAH7qfY4=")</f>
        <v>#REF!</v>
      </c>
      <c r="EN8" t="e">
        <f>AND(#REF!,"AAAAAH7qfY8=")</f>
        <v>#REF!</v>
      </c>
      <c r="EO8" t="e">
        <f>AND(#REF!,"AAAAAH7qfZA=")</f>
        <v>#REF!</v>
      </c>
      <c r="EP8" t="e">
        <f>AND(#REF!,"AAAAAH7qfZE=")</f>
        <v>#REF!</v>
      </c>
      <c r="EQ8" t="e">
        <f>AND(#REF!,"AAAAAH7qfZI=")</f>
        <v>#REF!</v>
      </c>
      <c r="ER8" t="e">
        <f>AND(#REF!,"AAAAAH7qfZM=")</f>
        <v>#REF!</v>
      </c>
      <c r="ES8" t="e">
        <f>AND(#REF!,"AAAAAH7qfZQ=")</f>
        <v>#REF!</v>
      </c>
      <c r="ET8" t="e">
        <f>IF(#REF!,"AAAAAH7qfZU=",0)</f>
        <v>#REF!</v>
      </c>
      <c r="EU8" t="e">
        <f>AND(#REF!,"AAAAAH7qfZY=")</f>
        <v>#REF!</v>
      </c>
      <c r="EV8" t="e">
        <f>AND(#REF!,"AAAAAH7qfZc=")</f>
        <v>#REF!</v>
      </c>
      <c r="EW8" t="e">
        <f>AND(#REF!,"AAAAAH7qfZg=")</f>
        <v>#REF!</v>
      </c>
      <c r="EX8" t="e">
        <f>AND(#REF!,"AAAAAH7qfZk=")</f>
        <v>#REF!</v>
      </c>
      <c r="EY8" t="e">
        <f>AND(#REF!,"AAAAAH7qfZo=")</f>
        <v>#REF!</v>
      </c>
      <c r="EZ8" t="e">
        <f>AND(#REF!,"AAAAAH7qfZs=")</f>
        <v>#REF!</v>
      </c>
      <c r="FA8" t="e">
        <f>AND(#REF!,"AAAAAH7qfZw=")</f>
        <v>#REF!</v>
      </c>
      <c r="FB8" t="e">
        <f>AND(#REF!,"AAAAAH7qfZ0=")</f>
        <v>#REF!</v>
      </c>
      <c r="FC8" t="e">
        <f>IF(#REF!,"AAAAAH7qfZ4=",0)</f>
        <v>#REF!</v>
      </c>
      <c r="FD8" t="e">
        <f>AND(#REF!,"AAAAAH7qfZ8=")</f>
        <v>#REF!</v>
      </c>
      <c r="FE8" t="e">
        <f>AND(#REF!,"AAAAAH7qfaA=")</f>
        <v>#REF!</v>
      </c>
      <c r="FF8" t="e">
        <f>AND(#REF!,"AAAAAH7qfaE=")</f>
        <v>#REF!</v>
      </c>
      <c r="FG8" t="e">
        <f>AND(#REF!,"AAAAAH7qfaI=")</f>
        <v>#REF!</v>
      </c>
      <c r="FH8" t="e">
        <f>AND(#REF!,"AAAAAH7qfaM=")</f>
        <v>#REF!</v>
      </c>
      <c r="FI8" t="e">
        <f>AND(#REF!,"AAAAAH7qfaQ=")</f>
        <v>#REF!</v>
      </c>
      <c r="FJ8" t="e">
        <f>AND(#REF!,"AAAAAH7qfaU=")</f>
        <v>#REF!</v>
      </c>
      <c r="FK8" t="e">
        <f>AND(#REF!,"AAAAAH7qfaY=")</f>
        <v>#REF!</v>
      </c>
      <c r="FL8" t="e">
        <f>IF(#REF!,"AAAAAH7qfac=",0)</f>
        <v>#REF!</v>
      </c>
      <c r="FM8" t="e">
        <f>AND(#REF!,"AAAAAH7qfag=")</f>
        <v>#REF!</v>
      </c>
      <c r="FN8" t="e">
        <f>AND(#REF!,"AAAAAH7qfak=")</f>
        <v>#REF!</v>
      </c>
      <c r="FO8" t="e">
        <f>AND(#REF!,"AAAAAH7qfao=")</f>
        <v>#REF!</v>
      </c>
      <c r="FP8" t="e">
        <f>AND(#REF!,"AAAAAH7qfas=")</f>
        <v>#REF!</v>
      </c>
      <c r="FQ8" t="e">
        <f>AND(#REF!,"AAAAAH7qfaw=")</f>
        <v>#REF!</v>
      </c>
      <c r="FR8" t="e">
        <f>AND(#REF!,"AAAAAH7qfa0=")</f>
        <v>#REF!</v>
      </c>
      <c r="FS8" t="e">
        <f>AND(#REF!,"AAAAAH7qfa4=")</f>
        <v>#REF!</v>
      </c>
      <c r="FT8" t="e">
        <f>AND(#REF!,"AAAAAH7qfa8=")</f>
        <v>#REF!</v>
      </c>
      <c r="FU8" t="e">
        <f>IF(#REF!,"AAAAAH7qfbA=",0)</f>
        <v>#REF!</v>
      </c>
      <c r="FV8" t="e">
        <f>AND(#REF!,"AAAAAH7qfbE=")</f>
        <v>#REF!</v>
      </c>
      <c r="FW8" t="e">
        <f>AND(#REF!,"AAAAAH7qfbI=")</f>
        <v>#REF!</v>
      </c>
      <c r="FX8" t="e">
        <f>AND(#REF!,"AAAAAH7qfbM=")</f>
        <v>#REF!</v>
      </c>
      <c r="FY8" t="e">
        <f>AND(#REF!,"AAAAAH7qfbQ=")</f>
        <v>#REF!</v>
      </c>
      <c r="FZ8" t="e">
        <f>AND(#REF!,"AAAAAH7qfbU=")</f>
        <v>#REF!</v>
      </c>
      <c r="GA8" t="e">
        <f>AND(#REF!,"AAAAAH7qfbY=")</f>
        <v>#REF!</v>
      </c>
      <c r="GB8" t="e">
        <f>AND(#REF!,"AAAAAH7qfbc=")</f>
        <v>#REF!</v>
      </c>
      <c r="GC8" t="e">
        <f>AND(#REF!,"AAAAAH7qfbg=")</f>
        <v>#REF!</v>
      </c>
      <c r="GD8" t="e">
        <f>IF(#REF!,"AAAAAH7qfbk=",0)</f>
        <v>#REF!</v>
      </c>
      <c r="GE8" t="e">
        <f>AND(#REF!,"AAAAAH7qfbo=")</f>
        <v>#REF!</v>
      </c>
      <c r="GF8" t="e">
        <f>AND(#REF!,"AAAAAH7qfbs=")</f>
        <v>#REF!</v>
      </c>
      <c r="GG8" t="e">
        <f>AND(#REF!,"AAAAAH7qfbw=")</f>
        <v>#REF!</v>
      </c>
      <c r="GH8" t="e">
        <f>AND(#REF!,"AAAAAH7qfb0=")</f>
        <v>#REF!</v>
      </c>
      <c r="GI8" t="e">
        <f>AND(#REF!,"AAAAAH7qfb4=")</f>
        <v>#REF!</v>
      </c>
      <c r="GJ8" t="e">
        <f>AND(#REF!,"AAAAAH7qfb8=")</f>
        <v>#REF!</v>
      </c>
      <c r="GK8" t="e">
        <f>AND(#REF!,"AAAAAH7qfcA=")</f>
        <v>#REF!</v>
      </c>
      <c r="GL8" t="e">
        <f>AND(#REF!,"AAAAAH7qfcE=")</f>
        <v>#REF!</v>
      </c>
      <c r="GM8" t="e">
        <f>IF(#REF!,"AAAAAH7qfcI=",0)</f>
        <v>#REF!</v>
      </c>
      <c r="GN8" t="e">
        <f>AND(#REF!,"AAAAAH7qfcM=")</f>
        <v>#REF!</v>
      </c>
      <c r="GO8" t="e">
        <f>AND(#REF!,"AAAAAH7qfcQ=")</f>
        <v>#REF!</v>
      </c>
      <c r="GP8" t="e">
        <f>AND(#REF!,"AAAAAH7qfcU=")</f>
        <v>#REF!</v>
      </c>
      <c r="GQ8" t="e">
        <f>AND(#REF!,"AAAAAH7qfcY=")</f>
        <v>#REF!</v>
      </c>
      <c r="GR8" t="e">
        <f>AND(#REF!,"AAAAAH7qfcc=")</f>
        <v>#REF!</v>
      </c>
      <c r="GS8" t="e">
        <f>AND(#REF!,"AAAAAH7qfcg=")</f>
        <v>#REF!</v>
      </c>
      <c r="GT8" t="e">
        <f>AND(#REF!,"AAAAAH7qfck=")</f>
        <v>#REF!</v>
      </c>
      <c r="GU8" t="e">
        <f>AND(#REF!,"AAAAAH7qfco=")</f>
        <v>#REF!</v>
      </c>
      <c r="GV8" t="e">
        <f>IF(#REF!,"AAAAAH7qfcs=",0)</f>
        <v>#REF!</v>
      </c>
      <c r="GW8" t="e">
        <f>AND(#REF!,"AAAAAH7qfcw=")</f>
        <v>#REF!</v>
      </c>
      <c r="GX8" t="e">
        <f>AND(#REF!,"AAAAAH7qfc0=")</f>
        <v>#REF!</v>
      </c>
      <c r="GY8" t="e">
        <f>AND(#REF!,"AAAAAH7qfc4=")</f>
        <v>#REF!</v>
      </c>
      <c r="GZ8" t="e">
        <f>AND(#REF!,"AAAAAH7qfc8=")</f>
        <v>#REF!</v>
      </c>
      <c r="HA8" t="e">
        <f>AND(#REF!,"AAAAAH7qfdA=")</f>
        <v>#REF!</v>
      </c>
      <c r="HB8" t="e">
        <f>AND(#REF!,"AAAAAH7qfdE=")</f>
        <v>#REF!</v>
      </c>
      <c r="HC8" t="e">
        <f>AND(#REF!,"AAAAAH7qfdI=")</f>
        <v>#REF!</v>
      </c>
      <c r="HD8" t="e">
        <f>AND(#REF!,"AAAAAH7qfdM=")</f>
        <v>#REF!</v>
      </c>
      <c r="HE8" t="e">
        <f>IF(#REF!,"AAAAAH7qfdQ=",0)</f>
        <v>#REF!</v>
      </c>
      <c r="HF8" t="e">
        <f>AND(#REF!,"AAAAAH7qfdU=")</f>
        <v>#REF!</v>
      </c>
      <c r="HG8" t="e">
        <f>AND(#REF!,"AAAAAH7qfdY=")</f>
        <v>#REF!</v>
      </c>
      <c r="HH8" t="e">
        <f>AND(#REF!,"AAAAAH7qfdc=")</f>
        <v>#REF!</v>
      </c>
      <c r="HI8" t="e">
        <f>AND(#REF!,"AAAAAH7qfdg=")</f>
        <v>#REF!</v>
      </c>
      <c r="HJ8" t="e">
        <f>AND(#REF!,"AAAAAH7qfdk=")</f>
        <v>#REF!</v>
      </c>
      <c r="HK8" t="e">
        <f>AND(#REF!,"AAAAAH7qfdo=")</f>
        <v>#REF!</v>
      </c>
      <c r="HL8" t="e">
        <f>AND(#REF!,"AAAAAH7qfds=")</f>
        <v>#REF!</v>
      </c>
      <c r="HM8" t="e">
        <f>AND(#REF!,"AAAAAH7qfdw=")</f>
        <v>#REF!</v>
      </c>
      <c r="HN8" t="e">
        <f>IF(#REF!,"AAAAAH7qfd0=",0)</f>
        <v>#REF!</v>
      </c>
      <c r="HO8" t="e">
        <f>AND(#REF!,"AAAAAH7qfd4=")</f>
        <v>#REF!</v>
      </c>
      <c r="HP8" t="e">
        <f>AND(#REF!,"AAAAAH7qfd8=")</f>
        <v>#REF!</v>
      </c>
      <c r="HQ8" t="e">
        <f>AND(#REF!,"AAAAAH7qfeA=")</f>
        <v>#REF!</v>
      </c>
      <c r="HR8" t="e">
        <f>AND(#REF!,"AAAAAH7qfeE=")</f>
        <v>#REF!</v>
      </c>
      <c r="HS8" t="e">
        <f>AND(#REF!,"AAAAAH7qfeI=")</f>
        <v>#REF!</v>
      </c>
      <c r="HT8" t="e">
        <f>AND(#REF!,"AAAAAH7qfeM=")</f>
        <v>#REF!</v>
      </c>
      <c r="HU8" t="e">
        <f>AND(#REF!,"AAAAAH7qfeQ=")</f>
        <v>#REF!</v>
      </c>
      <c r="HV8" t="e">
        <f>AND(#REF!,"AAAAAH7qfeU=")</f>
        <v>#REF!</v>
      </c>
      <c r="HW8" t="e">
        <f>IF(#REF!,"AAAAAH7qfeY=",0)</f>
        <v>#REF!</v>
      </c>
      <c r="HX8" t="e">
        <f>AND(#REF!,"AAAAAH7qfec=")</f>
        <v>#REF!</v>
      </c>
      <c r="HY8" t="e">
        <f>AND(#REF!,"AAAAAH7qfeg=")</f>
        <v>#REF!</v>
      </c>
      <c r="HZ8" t="e">
        <f>AND(#REF!,"AAAAAH7qfek=")</f>
        <v>#REF!</v>
      </c>
      <c r="IA8" t="e">
        <f>AND(#REF!,"AAAAAH7qfeo=")</f>
        <v>#REF!</v>
      </c>
      <c r="IB8" t="e">
        <f>AND(#REF!,"AAAAAH7qfes=")</f>
        <v>#REF!</v>
      </c>
      <c r="IC8" t="e">
        <f>AND(#REF!,"AAAAAH7qfew=")</f>
        <v>#REF!</v>
      </c>
      <c r="ID8" t="e">
        <f>AND(#REF!,"AAAAAH7qfe0=")</f>
        <v>#REF!</v>
      </c>
      <c r="IE8" t="e">
        <f>AND(#REF!,"AAAAAH7qfe4=")</f>
        <v>#REF!</v>
      </c>
      <c r="IF8" t="e">
        <f>IF(#REF!,"AAAAAH7qfe8=",0)</f>
        <v>#REF!</v>
      </c>
      <c r="IG8" t="e">
        <f>AND(#REF!,"AAAAAH7qffA=")</f>
        <v>#REF!</v>
      </c>
      <c r="IH8" t="e">
        <f>AND(#REF!,"AAAAAH7qffE=")</f>
        <v>#REF!</v>
      </c>
      <c r="II8" t="e">
        <f>AND(#REF!,"AAAAAH7qffI=")</f>
        <v>#REF!</v>
      </c>
      <c r="IJ8" t="e">
        <f>AND(#REF!,"AAAAAH7qffM=")</f>
        <v>#REF!</v>
      </c>
      <c r="IK8" t="e">
        <f>AND(#REF!,"AAAAAH7qffQ=")</f>
        <v>#REF!</v>
      </c>
      <c r="IL8" t="e">
        <f>AND(#REF!,"AAAAAH7qffU=")</f>
        <v>#REF!</v>
      </c>
      <c r="IM8" t="e">
        <f>AND(#REF!,"AAAAAH7qffY=")</f>
        <v>#REF!</v>
      </c>
      <c r="IN8" t="e">
        <f>AND(#REF!,"AAAAAH7qffc=")</f>
        <v>#REF!</v>
      </c>
      <c r="IO8" t="e">
        <f>IF(#REF!,"AAAAAH7qffg=",0)</f>
        <v>#REF!</v>
      </c>
      <c r="IP8" t="e">
        <f>AND(#REF!,"AAAAAH7qffk=")</f>
        <v>#REF!</v>
      </c>
      <c r="IQ8" t="e">
        <f>AND(#REF!,"AAAAAH7qffo=")</f>
        <v>#REF!</v>
      </c>
      <c r="IR8" t="e">
        <f>AND(#REF!,"AAAAAH7qffs=")</f>
        <v>#REF!</v>
      </c>
      <c r="IS8" t="e">
        <f>AND(#REF!,"AAAAAH7qffw=")</f>
        <v>#REF!</v>
      </c>
      <c r="IT8" t="e">
        <f>AND(#REF!,"AAAAAH7qff0=")</f>
        <v>#REF!</v>
      </c>
      <c r="IU8" t="e">
        <f>AND(#REF!,"AAAAAH7qff4=")</f>
        <v>#REF!</v>
      </c>
      <c r="IV8" t="e">
        <f>AND(#REF!,"AAAAAH7qff8=")</f>
        <v>#REF!</v>
      </c>
    </row>
    <row r="9" spans="1:256" x14ac:dyDescent="0.2">
      <c r="A9" t="e">
        <f>AND(#REF!,"AAAAAHnP+QA=")</f>
        <v>#REF!</v>
      </c>
      <c r="B9" t="e">
        <f>IF(#REF!,"AAAAAHnP+QE=",0)</f>
        <v>#REF!</v>
      </c>
      <c r="C9" t="e">
        <f>AND(#REF!,"AAAAAHnP+QI=")</f>
        <v>#REF!</v>
      </c>
      <c r="D9" t="e">
        <f>AND(#REF!,"AAAAAHnP+QM=")</f>
        <v>#REF!</v>
      </c>
      <c r="E9" t="e">
        <f>AND(#REF!,"AAAAAHnP+QQ=")</f>
        <v>#REF!</v>
      </c>
      <c r="F9" t="e">
        <f>AND(#REF!,"AAAAAHnP+QU=")</f>
        <v>#REF!</v>
      </c>
      <c r="G9" t="e">
        <f>AND(#REF!,"AAAAAHnP+QY=")</f>
        <v>#REF!</v>
      </c>
      <c r="H9" t="e">
        <f>AND(#REF!,"AAAAAHnP+Qc=")</f>
        <v>#REF!</v>
      </c>
      <c r="I9" t="e">
        <f>AND(#REF!,"AAAAAHnP+Qg=")</f>
        <v>#REF!</v>
      </c>
      <c r="J9" t="e">
        <f>AND(#REF!,"AAAAAHnP+Qk=")</f>
        <v>#REF!</v>
      </c>
      <c r="K9" t="e">
        <f>IF(#REF!,"AAAAAHnP+Qo=",0)</f>
        <v>#REF!</v>
      </c>
      <c r="L9" t="e">
        <f>AND(#REF!,"AAAAAHnP+Qs=")</f>
        <v>#REF!</v>
      </c>
      <c r="M9" t="e">
        <f>AND(#REF!,"AAAAAHnP+Qw=")</f>
        <v>#REF!</v>
      </c>
      <c r="N9" t="e">
        <f>AND(#REF!,"AAAAAHnP+Q0=")</f>
        <v>#REF!</v>
      </c>
      <c r="O9" t="e">
        <f>AND(#REF!,"AAAAAHnP+Q4=")</f>
        <v>#REF!</v>
      </c>
      <c r="P9" t="e">
        <f>AND(#REF!,"AAAAAHnP+Q8=")</f>
        <v>#REF!</v>
      </c>
      <c r="Q9" t="e">
        <f>AND(#REF!,"AAAAAHnP+RA=")</f>
        <v>#REF!</v>
      </c>
      <c r="R9" t="e">
        <f>AND(#REF!,"AAAAAHnP+RE=")</f>
        <v>#REF!</v>
      </c>
      <c r="S9" t="e">
        <f>AND(#REF!,"AAAAAHnP+RI=")</f>
        <v>#REF!</v>
      </c>
      <c r="T9" t="e">
        <f>IF(#REF!,"AAAAAHnP+RM=",0)</f>
        <v>#REF!</v>
      </c>
      <c r="U9" t="e">
        <f>AND(#REF!,"AAAAAHnP+RQ=")</f>
        <v>#REF!</v>
      </c>
      <c r="V9" t="e">
        <f>AND(#REF!,"AAAAAHnP+RU=")</f>
        <v>#REF!</v>
      </c>
      <c r="W9" t="e">
        <f>AND(#REF!,"AAAAAHnP+RY=")</f>
        <v>#REF!</v>
      </c>
      <c r="X9" t="e">
        <f>AND(#REF!,"AAAAAHnP+Rc=")</f>
        <v>#REF!</v>
      </c>
      <c r="Y9" t="e">
        <f>AND(#REF!,"AAAAAHnP+Rg=")</f>
        <v>#REF!</v>
      </c>
      <c r="Z9" t="e">
        <f>AND(#REF!,"AAAAAHnP+Rk=")</f>
        <v>#REF!</v>
      </c>
      <c r="AA9" t="e">
        <f>AND(#REF!,"AAAAAHnP+Ro=")</f>
        <v>#REF!</v>
      </c>
      <c r="AB9" t="e">
        <f>AND(#REF!,"AAAAAHnP+Rs=")</f>
        <v>#REF!</v>
      </c>
      <c r="AC9" t="e">
        <f>IF(#REF!,"AAAAAHnP+Rw=",0)</f>
        <v>#REF!</v>
      </c>
      <c r="AD9" t="e">
        <f>AND(#REF!,"AAAAAHnP+R0=")</f>
        <v>#REF!</v>
      </c>
      <c r="AE9" t="e">
        <f>AND(#REF!,"AAAAAHnP+R4=")</f>
        <v>#REF!</v>
      </c>
      <c r="AF9" t="e">
        <f>AND(#REF!,"AAAAAHnP+R8=")</f>
        <v>#REF!</v>
      </c>
      <c r="AG9" t="e">
        <f>AND(#REF!,"AAAAAHnP+SA=")</f>
        <v>#REF!</v>
      </c>
      <c r="AH9" t="e">
        <f>AND(#REF!,"AAAAAHnP+SE=")</f>
        <v>#REF!</v>
      </c>
      <c r="AI9" t="e">
        <f>AND(#REF!,"AAAAAHnP+SI=")</f>
        <v>#REF!</v>
      </c>
      <c r="AJ9" t="e">
        <f>AND(#REF!,"AAAAAHnP+SM=")</f>
        <v>#REF!</v>
      </c>
      <c r="AK9" t="e">
        <f>AND(#REF!,"AAAAAHnP+SQ=")</f>
        <v>#REF!</v>
      </c>
      <c r="AL9" t="e">
        <f>IF(#REF!,"AAAAAHnP+SU=",0)</f>
        <v>#REF!</v>
      </c>
      <c r="AM9" t="e">
        <f>AND(#REF!,"AAAAAHnP+SY=")</f>
        <v>#REF!</v>
      </c>
      <c r="AN9" t="e">
        <f>AND(#REF!,"AAAAAHnP+Sc=")</f>
        <v>#REF!</v>
      </c>
      <c r="AO9" t="e">
        <f>AND(#REF!,"AAAAAHnP+Sg=")</f>
        <v>#REF!</v>
      </c>
      <c r="AP9" t="e">
        <f>AND(#REF!,"AAAAAHnP+Sk=")</f>
        <v>#REF!</v>
      </c>
      <c r="AQ9" t="e">
        <f>AND(#REF!,"AAAAAHnP+So=")</f>
        <v>#REF!</v>
      </c>
      <c r="AR9" t="e">
        <f>AND(#REF!,"AAAAAHnP+Ss=")</f>
        <v>#REF!</v>
      </c>
      <c r="AS9" t="e">
        <f>AND(#REF!,"AAAAAHnP+Sw=")</f>
        <v>#REF!</v>
      </c>
      <c r="AT9" t="e">
        <f>AND(#REF!,"AAAAAHnP+S0=")</f>
        <v>#REF!</v>
      </c>
      <c r="AU9" t="e">
        <f>IF(#REF!,"AAAAAHnP+S4=",0)</f>
        <v>#REF!</v>
      </c>
      <c r="AV9" t="e">
        <f>AND(#REF!,"AAAAAHnP+S8=")</f>
        <v>#REF!</v>
      </c>
      <c r="AW9" t="e">
        <f>AND(#REF!,"AAAAAHnP+TA=")</f>
        <v>#REF!</v>
      </c>
      <c r="AX9" t="e">
        <f>AND(#REF!,"AAAAAHnP+TE=")</f>
        <v>#REF!</v>
      </c>
      <c r="AY9" t="e">
        <f>AND(#REF!,"AAAAAHnP+TI=")</f>
        <v>#REF!</v>
      </c>
      <c r="AZ9" t="e">
        <f>AND(#REF!,"AAAAAHnP+TM=")</f>
        <v>#REF!</v>
      </c>
      <c r="BA9" t="e">
        <f>AND(#REF!,"AAAAAHnP+TQ=")</f>
        <v>#REF!</v>
      </c>
      <c r="BB9" t="e">
        <f>AND(#REF!,"AAAAAHnP+TU=")</f>
        <v>#REF!</v>
      </c>
      <c r="BC9" t="e">
        <f>AND(#REF!,"AAAAAHnP+TY=")</f>
        <v>#REF!</v>
      </c>
      <c r="BD9" t="e">
        <f>IF(#REF!,"AAAAAHnP+Tc=",0)</f>
        <v>#REF!</v>
      </c>
      <c r="BE9" t="e">
        <f>AND(#REF!,"AAAAAHnP+Tg=")</f>
        <v>#REF!</v>
      </c>
      <c r="BF9" t="e">
        <f>AND(#REF!,"AAAAAHnP+Tk=")</f>
        <v>#REF!</v>
      </c>
      <c r="BG9" t="e">
        <f>AND(#REF!,"AAAAAHnP+To=")</f>
        <v>#REF!</v>
      </c>
      <c r="BH9" t="e">
        <f>AND(#REF!,"AAAAAHnP+Ts=")</f>
        <v>#REF!</v>
      </c>
      <c r="BI9" t="e">
        <f>AND(#REF!,"AAAAAHnP+Tw=")</f>
        <v>#REF!</v>
      </c>
      <c r="BJ9" t="e">
        <f>AND(#REF!,"AAAAAHnP+T0=")</f>
        <v>#REF!</v>
      </c>
      <c r="BK9" t="e">
        <f>AND(#REF!,"AAAAAHnP+T4=")</f>
        <v>#REF!</v>
      </c>
      <c r="BL9" t="e">
        <f>AND(#REF!,"AAAAAHnP+T8=")</f>
        <v>#REF!</v>
      </c>
      <c r="BM9" t="e">
        <f>IF(#REF!,"AAAAAHnP+UA=",0)</f>
        <v>#REF!</v>
      </c>
      <c r="BN9" t="e">
        <f>AND(#REF!,"AAAAAHnP+UE=")</f>
        <v>#REF!</v>
      </c>
      <c r="BO9" t="e">
        <f>AND(#REF!,"AAAAAHnP+UI=")</f>
        <v>#REF!</v>
      </c>
      <c r="BP9" t="e">
        <f>AND(#REF!,"AAAAAHnP+UM=")</f>
        <v>#REF!</v>
      </c>
      <c r="BQ9" t="e">
        <f>AND(#REF!,"AAAAAHnP+UQ=")</f>
        <v>#REF!</v>
      </c>
      <c r="BR9" t="e">
        <f>AND(#REF!,"AAAAAHnP+UU=")</f>
        <v>#REF!</v>
      </c>
      <c r="BS9" t="e">
        <f>AND(#REF!,"AAAAAHnP+UY=")</f>
        <v>#REF!</v>
      </c>
      <c r="BT9" t="e">
        <f>AND(#REF!,"AAAAAHnP+Uc=")</f>
        <v>#REF!</v>
      </c>
      <c r="BU9" t="e">
        <f>AND(#REF!,"AAAAAHnP+Ug=")</f>
        <v>#REF!</v>
      </c>
      <c r="BV9" t="e">
        <f>IF(#REF!,"AAAAAHnP+Uk=",0)</f>
        <v>#REF!</v>
      </c>
      <c r="BW9" t="e">
        <f>AND(#REF!,"AAAAAHnP+Uo=")</f>
        <v>#REF!</v>
      </c>
      <c r="BX9" t="e">
        <f>AND(#REF!,"AAAAAHnP+Us=")</f>
        <v>#REF!</v>
      </c>
      <c r="BY9" t="e">
        <f>AND(#REF!,"AAAAAHnP+Uw=")</f>
        <v>#REF!</v>
      </c>
      <c r="BZ9" t="e">
        <f>AND(#REF!,"AAAAAHnP+U0=")</f>
        <v>#REF!</v>
      </c>
      <c r="CA9" t="e">
        <f>AND(#REF!,"AAAAAHnP+U4=")</f>
        <v>#REF!</v>
      </c>
      <c r="CB9" t="e">
        <f>AND(#REF!,"AAAAAHnP+U8=")</f>
        <v>#REF!</v>
      </c>
      <c r="CC9" t="e">
        <f>AND(#REF!,"AAAAAHnP+VA=")</f>
        <v>#REF!</v>
      </c>
      <c r="CD9" t="e">
        <f>AND(#REF!,"AAAAAHnP+VE=")</f>
        <v>#REF!</v>
      </c>
      <c r="CE9" t="e">
        <f>IF(#REF!,"AAAAAHnP+VI=",0)</f>
        <v>#REF!</v>
      </c>
      <c r="CF9" t="e">
        <f>AND(#REF!,"AAAAAHnP+VM=")</f>
        <v>#REF!</v>
      </c>
      <c r="CG9" t="e">
        <f>AND(#REF!,"AAAAAHnP+VQ=")</f>
        <v>#REF!</v>
      </c>
      <c r="CH9" t="e">
        <f>AND(#REF!,"AAAAAHnP+VU=")</f>
        <v>#REF!</v>
      </c>
      <c r="CI9" t="e">
        <f>AND(#REF!,"AAAAAHnP+VY=")</f>
        <v>#REF!</v>
      </c>
      <c r="CJ9" t="e">
        <f>AND(#REF!,"AAAAAHnP+Vc=")</f>
        <v>#REF!</v>
      </c>
      <c r="CK9" t="e">
        <f>AND(#REF!,"AAAAAHnP+Vg=")</f>
        <v>#REF!</v>
      </c>
      <c r="CL9" t="e">
        <f>AND(#REF!,"AAAAAHnP+Vk=")</f>
        <v>#REF!</v>
      </c>
      <c r="CM9" t="e">
        <f>AND(#REF!,"AAAAAHnP+Vo=")</f>
        <v>#REF!</v>
      </c>
      <c r="CN9" t="e">
        <f>IF(#REF!,"AAAAAHnP+Vs=",0)</f>
        <v>#REF!</v>
      </c>
      <c r="CO9" t="e">
        <f>AND(#REF!,"AAAAAHnP+Vw=")</f>
        <v>#REF!</v>
      </c>
      <c r="CP9" t="e">
        <f>AND(#REF!,"AAAAAHnP+V0=")</f>
        <v>#REF!</v>
      </c>
      <c r="CQ9" t="e">
        <f>AND(#REF!,"AAAAAHnP+V4=")</f>
        <v>#REF!</v>
      </c>
      <c r="CR9" t="e">
        <f>AND(#REF!,"AAAAAHnP+V8=")</f>
        <v>#REF!</v>
      </c>
      <c r="CS9" t="e">
        <f>AND(#REF!,"AAAAAHnP+WA=")</f>
        <v>#REF!</v>
      </c>
      <c r="CT9" t="e">
        <f>AND(#REF!,"AAAAAHnP+WE=")</f>
        <v>#REF!</v>
      </c>
      <c r="CU9" t="e">
        <f>AND(#REF!,"AAAAAHnP+WI=")</f>
        <v>#REF!</v>
      </c>
      <c r="CV9" t="e">
        <f>AND(#REF!,"AAAAAHnP+WM=")</f>
        <v>#REF!</v>
      </c>
      <c r="CW9" t="e">
        <f>IF(#REF!,"AAAAAHnP+WQ=",0)</f>
        <v>#REF!</v>
      </c>
      <c r="CX9" t="e">
        <f>AND(#REF!,"AAAAAHnP+WU=")</f>
        <v>#REF!</v>
      </c>
      <c r="CY9" t="e">
        <f>AND(#REF!,"AAAAAHnP+WY=")</f>
        <v>#REF!</v>
      </c>
      <c r="CZ9" t="e">
        <f>AND(#REF!,"AAAAAHnP+Wc=")</f>
        <v>#REF!</v>
      </c>
      <c r="DA9" t="e">
        <f>AND(#REF!,"AAAAAHnP+Wg=")</f>
        <v>#REF!</v>
      </c>
      <c r="DB9" t="e">
        <f>AND(#REF!,"AAAAAHnP+Wk=")</f>
        <v>#REF!</v>
      </c>
      <c r="DC9" t="e">
        <f>AND(#REF!,"AAAAAHnP+Wo=")</f>
        <v>#REF!</v>
      </c>
      <c r="DD9" t="e">
        <f>AND(#REF!,"AAAAAHnP+Ws=")</f>
        <v>#REF!</v>
      </c>
      <c r="DE9" t="e">
        <f>AND(#REF!,"AAAAAHnP+Ww=")</f>
        <v>#REF!</v>
      </c>
      <c r="DF9" t="e">
        <f>IF(#REF!,"AAAAAHnP+W0=",0)</f>
        <v>#REF!</v>
      </c>
      <c r="DG9" t="e">
        <f>AND(#REF!,"AAAAAHnP+W4=")</f>
        <v>#REF!</v>
      </c>
      <c r="DH9" t="e">
        <f>AND(#REF!,"AAAAAHnP+W8=")</f>
        <v>#REF!</v>
      </c>
      <c r="DI9" t="e">
        <f>AND(#REF!,"AAAAAHnP+XA=")</f>
        <v>#REF!</v>
      </c>
      <c r="DJ9" t="e">
        <f>AND(#REF!,"AAAAAHnP+XE=")</f>
        <v>#REF!</v>
      </c>
      <c r="DK9" t="e">
        <f>AND(#REF!,"AAAAAHnP+XI=")</f>
        <v>#REF!</v>
      </c>
      <c r="DL9" t="e">
        <f>AND(#REF!,"AAAAAHnP+XM=")</f>
        <v>#REF!</v>
      </c>
      <c r="DM9" t="e">
        <f>AND(#REF!,"AAAAAHnP+XQ=")</f>
        <v>#REF!</v>
      </c>
      <c r="DN9" t="e">
        <f>AND(#REF!,"AAAAAHnP+XU=")</f>
        <v>#REF!</v>
      </c>
      <c r="DO9" t="e">
        <f>IF(#REF!,"AAAAAHnP+XY=",0)</f>
        <v>#REF!</v>
      </c>
      <c r="DP9" t="e">
        <f>AND(#REF!,"AAAAAHnP+Xc=")</f>
        <v>#REF!</v>
      </c>
      <c r="DQ9" t="e">
        <f>AND(#REF!,"AAAAAHnP+Xg=")</f>
        <v>#REF!</v>
      </c>
      <c r="DR9" t="e">
        <f>AND(#REF!,"AAAAAHnP+Xk=")</f>
        <v>#REF!</v>
      </c>
      <c r="DS9" t="e">
        <f>AND(#REF!,"AAAAAHnP+Xo=")</f>
        <v>#REF!</v>
      </c>
      <c r="DT9" t="e">
        <f>AND(#REF!,"AAAAAHnP+Xs=")</f>
        <v>#REF!</v>
      </c>
      <c r="DU9" t="e">
        <f>AND(#REF!,"AAAAAHnP+Xw=")</f>
        <v>#REF!</v>
      </c>
      <c r="DV9" t="e">
        <f>AND(#REF!,"AAAAAHnP+X0=")</f>
        <v>#REF!</v>
      </c>
      <c r="DW9" t="e">
        <f>AND(#REF!,"AAAAAHnP+X4=")</f>
        <v>#REF!</v>
      </c>
      <c r="DX9" t="e">
        <f>IF(#REF!,"AAAAAHnP+X8=",0)</f>
        <v>#REF!</v>
      </c>
      <c r="DY9" t="e">
        <f>AND(#REF!,"AAAAAHnP+YA=")</f>
        <v>#REF!</v>
      </c>
      <c r="DZ9" t="e">
        <f>AND(#REF!,"AAAAAHnP+YE=")</f>
        <v>#REF!</v>
      </c>
      <c r="EA9" t="e">
        <f>AND(#REF!,"AAAAAHnP+YI=")</f>
        <v>#REF!</v>
      </c>
      <c r="EB9" t="e">
        <f>AND(#REF!,"AAAAAHnP+YM=")</f>
        <v>#REF!</v>
      </c>
      <c r="EC9" t="e">
        <f>AND(#REF!,"AAAAAHnP+YQ=")</f>
        <v>#REF!</v>
      </c>
      <c r="ED9" t="e">
        <f>AND(#REF!,"AAAAAHnP+YU=")</f>
        <v>#REF!</v>
      </c>
      <c r="EE9" t="e">
        <f>AND(#REF!,"AAAAAHnP+YY=")</f>
        <v>#REF!</v>
      </c>
      <c r="EF9" t="e">
        <f>AND(#REF!,"AAAAAHnP+Yc=")</f>
        <v>#REF!</v>
      </c>
      <c r="EG9" t="e">
        <f>IF(#REF!,"AAAAAHnP+Yg=",0)</f>
        <v>#REF!</v>
      </c>
      <c r="EH9" t="e">
        <f>AND(#REF!,"AAAAAHnP+Yk=")</f>
        <v>#REF!</v>
      </c>
      <c r="EI9" t="e">
        <f>AND(#REF!,"AAAAAHnP+Yo=")</f>
        <v>#REF!</v>
      </c>
      <c r="EJ9" t="e">
        <f>AND(#REF!,"AAAAAHnP+Ys=")</f>
        <v>#REF!</v>
      </c>
      <c r="EK9" t="e">
        <f>AND(#REF!,"AAAAAHnP+Yw=")</f>
        <v>#REF!</v>
      </c>
      <c r="EL9" t="e">
        <f>AND(#REF!,"AAAAAHnP+Y0=")</f>
        <v>#REF!</v>
      </c>
      <c r="EM9" t="e">
        <f>AND(#REF!,"AAAAAHnP+Y4=")</f>
        <v>#REF!</v>
      </c>
      <c r="EN9" t="e">
        <f>AND(#REF!,"AAAAAHnP+Y8=")</f>
        <v>#REF!</v>
      </c>
      <c r="EO9" t="e">
        <f>AND(#REF!,"AAAAAHnP+ZA=")</f>
        <v>#REF!</v>
      </c>
      <c r="EP9" t="e">
        <f>IF(#REF!,"AAAAAHnP+ZE=",0)</f>
        <v>#REF!</v>
      </c>
      <c r="EQ9" t="e">
        <f>AND(#REF!,"AAAAAHnP+ZI=")</f>
        <v>#REF!</v>
      </c>
      <c r="ER9" t="e">
        <f>AND(#REF!,"AAAAAHnP+ZM=")</f>
        <v>#REF!</v>
      </c>
      <c r="ES9" t="e">
        <f>AND(#REF!,"AAAAAHnP+ZQ=")</f>
        <v>#REF!</v>
      </c>
      <c r="ET9" t="e">
        <f>AND(#REF!,"AAAAAHnP+ZU=")</f>
        <v>#REF!</v>
      </c>
      <c r="EU9" t="e">
        <f>AND(#REF!,"AAAAAHnP+ZY=")</f>
        <v>#REF!</v>
      </c>
      <c r="EV9" t="e">
        <f>AND(#REF!,"AAAAAHnP+Zc=")</f>
        <v>#REF!</v>
      </c>
      <c r="EW9" t="e">
        <f>AND(#REF!,"AAAAAHnP+Zg=")</f>
        <v>#REF!</v>
      </c>
      <c r="EX9" t="e">
        <f>AND(#REF!,"AAAAAHnP+Zk=")</f>
        <v>#REF!</v>
      </c>
      <c r="EY9" t="e">
        <f>IF(#REF!,"AAAAAHnP+Zo=",0)</f>
        <v>#REF!</v>
      </c>
      <c r="EZ9" t="e">
        <f>AND(#REF!,"AAAAAHnP+Zs=")</f>
        <v>#REF!</v>
      </c>
      <c r="FA9" t="e">
        <f>AND(#REF!,"AAAAAHnP+Zw=")</f>
        <v>#REF!</v>
      </c>
      <c r="FB9" t="e">
        <f>AND(#REF!,"AAAAAHnP+Z0=")</f>
        <v>#REF!</v>
      </c>
      <c r="FC9" t="e">
        <f>AND(#REF!,"AAAAAHnP+Z4=")</f>
        <v>#REF!</v>
      </c>
      <c r="FD9" t="e">
        <f>AND(#REF!,"AAAAAHnP+Z8=")</f>
        <v>#REF!</v>
      </c>
      <c r="FE9" t="e">
        <f>AND(#REF!,"AAAAAHnP+aA=")</f>
        <v>#REF!</v>
      </c>
      <c r="FF9" t="e">
        <f>AND(#REF!,"AAAAAHnP+aE=")</f>
        <v>#REF!</v>
      </c>
      <c r="FG9" t="e">
        <f>AND(#REF!,"AAAAAHnP+aI=")</f>
        <v>#REF!</v>
      </c>
      <c r="FH9" t="e">
        <f>IF(#REF!,"AAAAAHnP+aM=",0)</f>
        <v>#REF!</v>
      </c>
      <c r="FI9" t="e">
        <f>AND(#REF!,"AAAAAHnP+aQ=")</f>
        <v>#REF!</v>
      </c>
      <c r="FJ9" t="e">
        <f>AND(#REF!,"AAAAAHnP+aU=")</f>
        <v>#REF!</v>
      </c>
      <c r="FK9" t="e">
        <f>AND(#REF!,"AAAAAHnP+aY=")</f>
        <v>#REF!</v>
      </c>
      <c r="FL9" t="e">
        <f>AND(#REF!,"AAAAAHnP+ac=")</f>
        <v>#REF!</v>
      </c>
      <c r="FM9" t="e">
        <f>AND(#REF!,"AAAAAHnP+ag=")</f>
        <v>#REF!</v>
      </c>
      <c r="FN9" t="e">
        <f>AND(#REF!,"AAAAAHnP+ak=")</f>
        <v>#REF!</v>
      </c>
      <c r="FO9" t="e">
        <f>AND(#REF!,"AAAAAHnP+ao=")</f>
        <v>#REF!</v>
      </c>
      <c r="FP9" t="e">
        <f>AND(#REF!,"AAAAAHnP+as=")</f>
        <v>#REF!</v>
      </c>
      <c r="FQ9" t="e">
        <f>IF(#REF!,"AAAAAHnP+aw=",0)</f>
        <v>#REF!</v>
      </c>
      <c r="FR9" t="e">
        <f>AND(#REF!,"AAAAAHnP+a0=")</f>
        <v>#REF!</v>
      </c>
      <c r="FS9" t="e">
        <f>AND(#REF!,"AAAAAHnP+a4=")</f>
        <v>#REF!</v>
      </c>
      <c r="FT9" t="e">
        <f>AND(#REF!,"AAAAAHnP+a8=")</f>
        <v>#REF!</v>
      </c>
      <c r="FU9" t="e">
        <f>AND(#REF!,"AAAAAHnP+bA=")</f>
        <v>#REF!</v>
      </c>
      <c r="FV9" t="e">
        <f>AND(#REF!,"AAAAAHnP+bE=")</f>
        <v>#REF!</v>
      </c>
      <c r="FW9" t="e">
        <f>AND(#REF!,"AAAAAHnP+bI=")</f>
        <v>#REF!</v>
      </c>
      <c r="FX9" t="e">
        <f>AND(#REF!,"AAAAAHnP+bM=")</f>
        <v>#REF!</v>
      </c>
      <c r="FY9" t="e">
        <f>AND(#REF!,"AAAAAHnP+bQ=")</f>
        <v>#REF!</v>
      </c>
      <c r="FZ9" t="e">
        <f>IF(#REF!,"AAAAAHnP+bU=",0)</f>
        <v>#REF!</v>
      </c>
      <c r="GA9" t="e">
        <f>AND(#REF!,"AAAAAHnP+bY=")</f>
        <v>#REF!</v>
      </c>
      <c r="GB9" t="e">
        <f>AND(#REF!,"AAAAAHnP+bc=")</f>
        <v>#REF!</v>
      </c>
      <c r="GC9" t="e">
        <f>AND(#REF!,"AAAAAHnP+bg=")</f>
        <v>#REF!</v>
      </c>
      <c r="GD9" t="e">
        <f>AND(#REF!,"AAAAAHnP+bk=")</f>
        <v>#REF!</v>
      </c>
      <c r="GE9" t="e">
        <f>AND(#REF!,"AAAAAHnP+bo=")</f>
        <v>#REF!</v>
      </c>
      <c r="GF9" t="e">
        <f>AND(#REF!,"AAAAAHnP+bs=")</f>
        <v>#REF!</v>
      </c>
      <c r="GG9" t="e">
        <f>AND(#REF!,"AAAAAHnP+bw=")</f>
        <v>#REF!</v>
      </c>
      <c r="GH9" t="e">
        <f>AND(#REF!,"AAAAAHnP+b0=")</f>
        <v>#REF!</v>
      </c>
      <c r="GI9" t="e">
        <f>IF(#REF!,"AAAAAHnP+b4=",0)</f>
        <v>#REF!</v>
      </c>
      <c r="GJ9" t="e">
        <f>AND(#REF!,"AAAAAHnP+b8=")</f>
        <v>#REF!</v>
      </c>
      <c r="GK9" t="e">
        <f>AND(#REF!,"AAAAAHnP+cA=")</f>
        <v>#REF!</v>
      </c>
      <c r="GL9" t="e">
        <f>AND(#REF!,"AAAAAHnP+cE=")</f>
        <v>#REF!</v>
      </c>
      <c r="GM9" t="e">
        <f>AND(#REF!,"AAAAAHnP+cI=")</f>
        <v>#REF!</v>
      </c>
      <c r="GN9" t="e">
        <f>AND(#REF!,"AAAAAHnP+cM=")</f>
        <v>#REF!</v>
      </c>
      <c r="GO9" t="e">
        <f>AND(#REF!,"AAAAAHnP+cQ=")</f>
        <v>#REF!</v>
      </c>
      <c r="GP9" t="e">
        <f>AND(#REF!,"AAAAAHnP+cU=")</f>
        <v>#REF!</v>
      </c>
      <c r="GQ9" t="e">
        <f>AND(#REF!,"AAAAAHnP+cY=")</f>
        <v>#REF!</v>
      </c>
      <c r="GR9" t="e">
        <f>IF(#REF!,"AAAAAHnP+cc=",0)</f>
        <v>#REF!</v>
      </c>
      <c r="GS9" t="e">
        <f>AND(#REF!,"AAAAAHnP+cg=")</f>
        <v>#REF!</v>
      </c>
      <c r="GT9" t="e">
        <f>AND(#REF!,"AAAAAHnP+ck=")</f>
        <v>#REF!</v>
      </c>
      <c r="GU9" t="e">
        <f>AND(#REF!,"AAAAAHnP+co=")</f>
        <v>#REF!</v>
      </c>
      <c r="GV9" t="e">
        <f>AND(#REF!,"AAAAAHnP+cs=")</f>
        <v>#REF!</v>
      </c>
      <c r="GW9" t="e">
        <f>AND(#REF!,"AAAAAHnP+cw=")</f>
        <v>#REF!</v>
      </c>
      <c r="GX9" t="e">
        <f>AND(#REF!,"AAAAAHnP+c0=")</f>
        <v>#REF!</v>
      </c>
      <c r="GY9" t="e">
        <f>AND(#REF!,"AAAAAHnP+c4=")</f>
        <v>#REF!</v>
      </c>
      <c r="GZ9" t="e">
        <f>AND(#REF!,"AAAAAHnP+c8=")</f>
        <v>#REF!</v>
      </c>
      <c r="HA9" t="e">
        <f>IF(#REF!,"AAAAAHnP+dA=",0)</f>
        <v>#REF!</v>
      </c>
      <c r="HB9" t="e">
        <f>AND(#REF!,"AAAAAHnP+dE=")</f>
        <v>#REF!</v>
      </c>
      <c r="HC9" t="e">
        <f>AND(#REF!,"AAAAAHnP+dI=")</f>
        <v>#REF!</v>
      </c>
      <c r="HD9" t="e">
        <f>AND(#REF!,"AAAAAHnP+dM=")</f>
        <v>#REF!</v>
      </c>
      <c r="HE9" t="e">
        <f>AND(#REF!,"AAAAAHnP+dQ=")</f>
        <v>#REF!</v>
      </c>
      <c r="HF9" t="e">
        <f>AND(#REF!,"AAAAAHnP+dU=")</f>
        <v>#REF!</v>
      </c>
      <c r="HG9" t="e">
        <f>AND(#REF!,"AAAAAHnP+dY=")</f>
        <v>#REF!</v>
      </c>
      <c r="HH9" t="e">
        <f>AND(#REF!,"AAAAAHnP+dc=")</f>
        <v>#REF!</v>
      </c>
      <c r="HI9" t="e">
        <f>AND(#REF!,"AAAAAHnP+dg=")</f>
        <v>#REF!</v>
      </c>
      <c r="HJ9" t="e">
        <f>IF(#REF!,"AAAAAHnP+dk=",0)</f>
        <v>#REF!</v>
      </c>
      <c r="HK9" t="e">
        <f>AND(#REF!,"AAAAAHnP+do=")</f>
        <v>#REF!</v>
      </c>
      <c r="HL9" t="e">
        <f>AND(#REF!,"AAAAAHnP+ds=")</f>
        <v>#REF!</v>
      </c>
      <c r="HM9" t="e">
        <f>AND(#REF!,"AAAAAHnP+dw=")</f>
        <v>#REF!</v>
      </c>
      <c r="HN9" t="e">
        <f>AND(#REF!,"AAAAAHnP+d0=")</f>
        <v>#REF!</v>
      </c>
      <c r="HO9" t="e">
        <f>AND(#REF!,"AAAAAHnP+d4=")</f>
        <v>#REF!</v>
      </c>
      <c r="HP9" t="e">
        <f>AND(#REF!,"AAAAAHnP+d8=")</f>
        <v>#REF!</v>
      </c>
      <c r="HQ9" t="e">
        <f>AND(#REF!,"AAAAAHnP+eA=")</f>
        <v>#REF!</v>
      </c>
      <c r="HR9" t="e">
        <f>AND(#REF!,"AAAAAHnP+eE=")</f>
        <v>#REF!</v>
      </c>
      <c r="HS9" t="e">
        <f>IF(#REF!,"AAAAAHnP+eI=",0)</f>
        <v>#REF!</v>
      </c>
      <c r="HT9" t="e">
        <f>AND(#REF!,"AAAAAHnP+eM=")</f>
        <v>#REF!</v>
      </c>
      <c r="HU9" t="e">
        <f>AND(#REF!,"AAAAAHnP+eQ=")</f>
        <v>#REF!</v>
      </c>
      <c r="HV9" t="e">
        <f>AND(#REF!,"AAAAAHnP+eU=")</f>
        <v>#REF!</v>
      </c>
      <c r="HW9" t="e">
        <f>AND(#REF!,"AAAAAHnP+eY=")</f>
        <v>#REF!</v>
      </c>
      <c r="HX9" t="e">
        <f>AND(#REF!,"AAAAAHnP+ec=")</f>
        <v>#REF!</v>
      </c>
      <c r="HY9" t="e">
        <f>AND(#REF!,"AAAAAHnP+eg=")</f>
        <v>#REF!</v>
      </c>
      <c r="HZ9" t="e">
        <f>AND(#REF!,"AAAAAHnP+ek=")</f>
        <v>#REF!</v>
      </c>
      <c r="IA9" t="e">
        <f>AND(#REF!,"AAAAAHnP+eo=")</f>
        <v>#REF!</v>
      </c>
      <c r="IB9" t="e">
        <f>IF(#REF!,"AAAAAHnP+es=",0)</f>
        <v>#REF!</v>
      </c>
      <c r="IC9" t="e">
        <f>AND(#REF!,"AAAAAHnP+ew=")</f>
        <v>#REF!</v>
      </c>
      <c r="ID9" t="e">
        <f>AND(#REF!,"AAAAAHnP+e0=")</f>
        <v>#REF!</v>
      </c>
      <c r="IE9" t="e">
        <f>AND(#REF!,"AAAAAHnP+e4=")</f>
        <v>#REF!</v>
      </c>
      <c r="IF9" t="e">
        <f>AND(#REF!,"AAAAAHnP+e8=")</f>
        <v>#REF!</v>
      </c>
      <c r="IG9" t="e">
        <f>AND(#REF!,"AAAAAHnP+fA=")</f>
        <v>#REF!</v>
      </c>
      <c r="IH9" t="e">
        <f>AND(#REF!,"AAAAAHnP+fE=")</f>
        <v>#REF!</v>
      </c>
      <c r="II9" t="e">
        <f>AND(#REF!,"AAAAAHnP+fI=")</f>
        <v>#REF!</v>
      </c>
      <c r="IJ9" t="e">
        <f>AND(#REF!,"AAAAAHnP+fM=")</f>
        <v>#REF!</v>
      </c>
      <c r="IK9" t="e">
        <f>IF(#REF!,"AAAAAHnP+fQ=",0)</f>
        <v>#REF!</v>
      </c>
      <c r="IL9" t="e">
        <f>IF(#REF!,"AAAAAHnP+fU=",0)</f>
        <v>#REF!</v>
      </c>
      <c r="IM9" t="e">
        <f>IF(#REF!,"AAAAAHnP+fY=",0)</f>
        <v>#REF!</v>
      </c>
      <c r="IN9" t="e">
        <f>IF(#REF!,"AAAAAHnP+fc=",0)</f>
        <v>#REF!</v>
      </c>
      <c r="IO9" t="e">
        <f>IF(#REF!,"AAAAAHnP+fg=",0)</f>
        <v>#REF!</v>
      </c>
      <c r="IP9" t="e">
        <f>IF(#REF!,"AAAAAHnP+fk=",0)</f>
        <v>#REF!</v>
      </c>
      <c r="IQ9" t="e">
        <f>IF(#REF!,"AAAAAHnP+fo=",0)</f>
        <v>#REF!</v>
      </c>
      <c r="IR9" t="e">
        <f>IF(#REF!,"AAAAAHnP+fs=",0)</f>
        <v>#REF!</v>
      </c>
      <c r="IS9" t="e">
        <f>IF(#REF!,"AAAAAHnP+fw=",0)</f>
        <v>#REF!</v>
      </c>
      <c r="IT9" t="e">
        <f>IF(#REF!,"AAAAAHnP+f0=",0)</f>
        <v>#REF!</v>
      </c>
      <c r="IU9" t="e">
        <f>IF(#REF!,"AAAAAHnP+f4=",0)</f>
        <v>#REF!</v>
      </c>
      <c r="IV9" t="e">
        <f>IF(#REF!,"AAAAAHnP+f8=",0)</f>
        <v>#REF!</v>
      </c>
    </row>
    <row r="10" spans="1:256" x14ac:dyDescent="0.2">
      <c r="A10" t="e">
        <f>IF(#REF!,"AAAAAHbtNgA=",0)</f>
        <v>#REF!</v>
      </c>
      <c r="B10" t="e">
        <f>IF(#REF!,"AAAAAHbtNgE=",0)</f>
        <v>#REF!</v>
      </c>
      <c r="C10" t="e">
        <f>IF(#REF!,"AAAAAHbtNgI=",0)</f>
        <v>#REF!</v>
      </c>
      <c r="D10" t="e">
        <f>IF(#REF!,"AAAAAHbtNgM=",0)</f>
        <v>#REF!</v>
      </c>
      <c r="E10" t="e">
        <f>IF(#REF!,"AAAAAHbtNgQ=",0)</f>
        <v>#REF!</v>
      </c>
      <c r="F10" t="e">
        <f>IF(#REF!,"AAAAAHbtNgU=",0)</f>
        <v>#REF!</v>
      </c>
      <c r="G10" t="e">
        <f>IF(#REF!,"AAAAAHbtNgY=",0)</f>
        <v>#REF!</v>
      </c>
      <c r="H10" t="e">
        <f>AND(#REF!,"AAAAAHbtNgc=")</f>
        <v>#REF!</v>
      </c>
      <c r="I10" t="e">
        <f>AND(#REF!,"AAAAAHbtNgg=")</f>
        <v>#REF!</v>
      </c>
      <c r="J10" t="e">
        <f>AND(#REF!,"AAAAAHbtNgk=")</f>
        <v>#REF!</v>
      </c>
      <c r="K10" t="e">
        <f>AND(#REF!,"AAAAAHbtNgo=")</f>
        <v>#REF!</v>
      </c>
      <c r="L10" t="e">
        <f>AND(#REF!,"AAAAAHbtNgs=")</f>
        <v>#REF!</v>
      </c>
      <c r="M10" t="e">
        <f>AND(#REF!,"AAAAAHbtNgw=")</f>
        <v>#REF!</v>
      </c>
      <c r="N10" t="e">
        <f>AND(#REF!,"AAAAAHbtNg0=")</f>
        <v>#REF!</v>
      </c>
      <c r="O10" t="e">
        <f>AND(#REF!,"AAAAAHbtNg4=")</f>
        <v>#REF!</v>
      </c>
      <c r="P10" t="e">
        <f>AND(#REF!,"AAAAAHbtNg8=")</f>
        <v>#REF!</v>
      </c>
      <c r="Q10" t="e">
        <f>AND(#REF!,"AAAAAHbtNhA=")</f>
        <v>#REF!</v>
      </c>
      <c r="R10" t="e">
        <f>AND(#REF!,"AAAAAHbtNhE=")</f>
        <v>#REF!</v>
      </c>
      <c r="S10" t="e">
        <f>AND(#REF!,"AAAAAHbtNhI=")</f>
        <v>#REF!</v>
      </c>
      <c r="T10" t="e">
        <f>AND(#REF!,"AAAAAHbtNhM=")</f>
        <v>#REF!</v>
      </c>
      <c r="U10" t="e">
        <f>AND(#REF!,"AAAAAHbtNhQ=")</f>
        <v>#REF!</v>
      </c>
      <c r="V10" t="e">
        <f>AND(#REF!,"AAAAAHbtNhU=")</f>
        <v>#REF!</v>
      </c>
      <c r="W10" t="e">
        <f>AND(#REF!,"AAAAAHbtNhY=")</f>
        <v>#REF!</v>
      </c>
      <c r="X10" t="e">
        <f>AND(#REF!,"AAAAAHbtNhc=")</f>
        <v>#REF!</v>
      </c>
      <c r="Y10" t="e">
        <f>IF(#REF!,"AAAAAHbtNhg=",0)</f>
        <v>#REF!</v>
      </c>
      <c r="Z10" t="e">
        <f>AND(#REF!,"AAAAAHbtNhk=")</f>
        <v>#REF!</v>
      </c>
      <c r="AA10" t="e">
        <f>AND(#REF!,"AAAAAHbtNho=")</f>
        <v>#REF!</v>
      </c>
      <c r="AB10" t="e">
        <f>AND(#REF!,"AAAAAHbtNhs=")</f>
        <v>#REF!</v>
      </c>
      <c r="AC10" t="e">
        <f>AND(#REF!,"AAAAAHbtNhw=")</f>
        <v>#REF!</v>
      </c>
      <c r="AD10" t="e">
        <f>AND(#REF!,"AAAAAHbtNh0=")</f>
        <v>#REF!</v>
      </c>
      <c r="AE10" t="e">
        <f>AND(#REF!,"AAAAAHbtNh4=")</f>
        <v>#REF!</v>
      </c>
      <c r="AF10" t="e">
        <f>AND(#REF!,"AAAAAHbtNh8=")</f>
        <v>#REF!</v>
      </c>
      <c r="AG10" t="e">
        <f>AND(#REF!,"AAAAAHbtNiA=")</f>
        <v>#REF!</v>
      </c>
      <c r="AH10" t="e">
        <f>AND(#REF!,"AAAAAHbtNiE=")</f>
        <v>#REF!</v>
      </c>
      <c r="AI10" t="e">
        <f>AND(#REF!,"AAAAAHbtNiI=")</f>
        <v>#REF!</v>
      </c>
      <c r="AJ10" t="e">
        <f>AND(#REF!,"AAAAAHbtNiM=")</f>
        <v>#REF!</v>
      </c>
      <c r="AK10" t="e">
        <f>AND(#REF!,"AAAAAHbtNiQ=")</f>
        <v>#REF!</v>
      </c>
      <c r="AL10" t="e">
        <f>AND(#REF!,"AAAAAHbtNiU=")</f>
        <v>#REF!</v>
      </c>
      <c r="AM10" t="e">
        <f>AND(#REF!,"AAAAAHbtNiY=")</f>
        <v>#REF!</v>
      </c>
      <c r="AN10" t="e">
        <f>AND(#REF!,"AAAAAHbtNic=")</f>
        <v>#REF!</v>
      </c>
      <c r="AO10" t="e">
        <f>AND(#REF!,"AAAAAHbtNig=")</f>
        <v>#REF!</v>
      </c>
      <c r="AP10" t="e">
        <f>AND(#REF!,"AAAAAHbtNik=")</f>
        <v>#REF!</v>
      </c>
      <c r="AQ10" t="e">
        <f>IF(#REF!,"AAAAAHbtNio=",0)</f>
        <v>#REF!</v>
      </c>
      <c r="AR10" t="e">
        <f>AND(#REF!,"AAAAAHbtNis=")</f>
        <v>#REF!</v>
      </c>
      <c r="AS10" t="e">
        <f>AND(#REF!,"AAAAAHbtNiw=")</f>
        <v>#REF!</v>
      </c>
      <c r="AT10" t="e">
        <f>AND(#REF!,"AAAAAHbtNi0=")</f>
        <v>#REF!</v>
      </c>
      <c r="AU10" t="e">
        <f>AND(#REF!,"AAAAAHbtNi4=")</f>
        <v>#REF!</v>
      </c>
      <c r="AV10" t="e">
        <f>AND(#REF!,"AAAAAHbtNi8=")</f>
        <v>#REF!</v>
      </c>
      <c r="AW10" t="e">
        <f>AND(#REF!,"AAAAAHbtNjA=")</f>
        <v>#REF!</v>
      </c>
      <c r="AX10" t="e">
        <f>AND(#REF!,"AAAAAHbtNjE=")</f>
        <v>#REF!</v>
      </c>
      <c r="AY10" t="e">
        <f>AND(#REF!,"AAAAAHbtNjI=")</f>
        <v>#REF!</v>
      </c>
      <c r="AZ10" t="e">
        <f>AND(#REF!,"AAAAAHbtNjM=")</f>
        <v>#REF!</v>
      </c>
      <c r="BA10" t="e">
        <f>AND(#REF!,"AAAAAHbtNjQ=")</f>
        <v>#REF!</v>
      </c>
      <c r="BB10" t="e">
        <f>AND(#REF!,"AAAAAHbtNjU=")</f>
        <v>#REF!</v>
      </c>
      <c r="BC10" t="e">
        <f>AND(#REF!,"AAAAAHbtNjY=")</f>
        <v>#REF!</v>
      </c>
      <c r="BD10" t="e">
        <f>AND(#REF!,"AAAAAHbtNjc=")</f>
        <v>#REF!</v>
      </c>
      <c r="BE10" t="e">
        <f>AND(#REF!,"AAAAAHbtNjg=")</f>
        <v>#REF!</v>
      </c>
      <c r="BF10" t="e">
        <f>AND(#REF!,"AAAAAHbtNjk=")</f>
        <v>#REF!</v>
      </c>
      <c r="BG10" t="e">
        <f>AND(#REF!,"AAAAAHbtNjo=")</f>
        <v>#REF!</v>
      </c>
      <c r="BH10" t="e">
        <f>AND(#REF!,"AAAAAHbtNjs=")</f>
        <v>#REF!</v>
      </c>
      <c r="BI10" t="e">
        <f>IF(#REF!,"AAAAAHbtNjw=",0)</f>
        <v>#REF!</v>
      </c>
      <c r="BJ10" t="e">
        <f>AND(#REF!,"AAAAAHbtNj0=")</f>
        <v>#REF!</v>
      </c>
      <c r="BK10" t="e">
        <f>AND(#REF!,"AAAAAHbtNj4=")</f>
        <v>#REF!</v>
      </c>
      <c r="BL10" t="e">
        <f>AND(#REF!,"AAAAAHbtNj8=")</f>
        <v>#REF!</v>
      </c>
      <c r="BM10" t="e">
        <f>AND(#REF!,"AAAAAHbtNkA=")</f>
        <v>#REF!</v>
      </c>
      <c r="BN10" t="e">
        <f>AND(#REF!,"AAAAAHbtNkE=")</f>
        <v>#REF!</v>
      </c>
      <c r="BO10" t="e">
        <f>AND(#REF!,"AAAAAHbtNkI=")</f>
        <v>#REF!</v>
      </c>
      <c r="BP10" t="e">
        <f>AND(#REF!,"AAAAAHbtNkM=")</f>
        <v>#REF!</v>
      </c>
      <c r="BQ10" t="e">
        <f>AND(#REF!,"AAAAAHbtNkQ=")</f>
        <v>#REF!</v>
      </c>
      <c r="BR10" t="e">
        <f>AND(#REF!,"AAAAAHbtNkU=")</f>
        <v>#REF!</v>
      </c>
      <c r="BS10" t="e">
        <f>AND(#REF!,"AAAAAHbtNkY=")</f>
        <v>#REF!</v>
      </c>
      <c r="BT10" t="e">
        <f>AND(#REF!,"AAAAAHbtNkc=")</f>
        <v>#REF!</v>
      </c>
      <c r="BU10" t="e">
        <f>AND(#REF!,"AAAAAHbtNkg=")</f>
        <v>#REF!</v>
      </c>
      <c r="BV10" t="e">
        <f>AND(#REF!,"AAAAAHbtNkk=")</f>
        <v>#REF!</v>
      </c>
      <c r="BW10" t="e">
        <f>AND(#REF!,"AAAAAHbtNko=")</f>
        <v>#REF!</v>
      </c>
      <c r="BX10" t="e">
        <f>AND(#REF!,"AAAAAHbtNks=")</f>
        <v>#REF!</v>
      </c>
      <c r="BY10" t="e">
        <f>AND(#REF!,"AAAAAHbtNkw=")</f>
        <v>#REF!</v>
      </c>
      <c r="BZ10" t="e">
        <f>AND(#REF!,"AAAAAHbtNk0=")</f>
        <v>#REF!</v>
      </c>
      <c r="CA10" t="e">
        <f>IF(#REF!,"AAAAAHbtNk4=",0)</f>
        <v>#REF!</v>
      </c>
      <c r="CB10" t="e">
        <f>AND(#REF!,"AAAAAHbtNk8=")</f>
        <v>#REF!</v>
      </c>
      <c r="CC10" t="e">
        <f>AND(#REF!,"AAAAAHbtNlA=")</f>
        <v>#REF!</v>
      </c>
      <c r="CD10" t="e">
        <f>AND(#REF!,"AAAAAHbtNlE=")</f>
        <v>#REF!</v>
      </c>
      <c r="CE10" t="e">
        <f>AND(#REF!,"AAAAAHbtNlI=")</f>
        <v>#REF!</v>
      </c>
      <c r="CF10" t="e">
        <f>AND(#REF!,"AAAAAHbtNlM=")</f>
        <v>#REF!</v>
      </c>
      <c r="CG10" t="e">
        <f>AND(#REF!,"AAAAAHbtNlQ=")</f>
        <v>#REF!</v>
      </c>
      <c r="CH10" t="e">
        <f>AND(#REF!,"AAAAAHbtNlU=")</f>
        <v>#REF!</v>
      </c>
      <c r="CI10" t="e">
        <f>AND(#REF!,"AAAAAHbtNlY=")</f>
        <v>#REF!</v>
      </c>
      <c r="CJ10" t="e">
        <f>AND(#REF!,"AAAAAHbtNlc=")</f>
        <v>#REF!</v>
      </c>
      <c r="CK10" t="e">
        <f>AND(#REF!,"AAAAAHbtNlg=")</f>
        <v>#REF!</v>
      </c>
      <c r="CL10" t="e">
        <f>AND(#REF!,"AAAAAHbtNlk=")</f>
        <v>#REF!</v>
      </c>
      <c r="CM10" t="e">
        <f>AND(#REF!,"AAAAAHbtNlo=")</f>
        <v>#REF!</v>
      </c>
      <c r="CN10" t="e">
        <f>AND(#REF!,"AAAAAHbtNls=")</f>
        <v>#REF!</v>
      </c>
      <c r="CO10" t="e">
        <f>AND(#REF!,"AAAAAHbtNlw=")</f>
        <v>#REF!</v>
      </c>
      <c r="CP10" t="e">
        <f>AND(#REF!,"AAAAAHbtNl0=")</f>
        <v>#REF!</v>
      </c>
      <c r="CQ10" t="e">
        <f>AND(#REF!,"AAAAAHbtNl4=")</f>
        <v>#REF!</v>
      </c>
      <c r="CR10" t="e">
        <f>AND(#REF!,"AAAAAHbtNl8=")</f>
        <v>#REF!</v>
      </c>
      <c r="CS10" t="e">
        <f>IF(#REF!,"AAAAAHbtNmA=",0)</f>
        <v>#REF!</v>
      </c>
      <c r="CT10" t="e">
        <f>AND(#REF!,"AAAAAHbtNmE=")</f>
        <v>#REF!</v>
      </c>
      <c r="CU10" t="e">
        <f>AND(#REF!,"AAAAAHbtNmI=")</f>
        <v>#REF!</v>
      </c>
      <c r="CV10" t="e">
        <f>AND(#REF!,"AAAAAHbtNmM=")</f>
        <v>#REF!</v>
      </c>
      <c r="CW10" t="e">
        <f>AND(#REF!,"AAAAAHbtNmQ=")</f>
        <v>#REF!</v>
      </c>
      <c r="CX10" t="e">
        <f>AND(#REF!,"AAAAAHbtNmU=")</f>
        <v>#REF!</v>
      </c>
      <c r="CY10" t="e">
        <f>AND(#REF!,"AAAAAHbtNmY=")</f>
        <v>#REF!</v>
      </c>
      <c r="CZ10" t="e">
        <f>AND(#REF!,"AAAAAHbtNmc=")</f>
        <v>#REF!</v>
      </c>
      <c r="DA10" t="e">
        <f>AND(#REF!,"AAAAAHbtNmg=")</f>
        <v>#REF!</v>
      </c>
      <c r="DB10" t="e">
        <f>AND(#REF!,"AAAAAHbtNmk=")</f>
        <v>#REF!</v>
      </c>
      <c r="DC10" t="e">
        <f>AND(#REF!,"AAAAAHbtNmo=")</f>
        <v>#REF!</v>
      </c>
      <c r="DD10" t="e">
        <f>AND(#REF!,"AAAAAHbtNms=")</f>
        <v>#REF!</v>
      </c>
      <c r="DE10" t="e">
        <f>AND(#REF!,"AAAAAHbtNmw=")</f>
        <v>#REF!</v>
      </c>
      <c r="DF10" t="e">
        <f>AND(#REF!,"AAAAAHbtNm0=")</f>
        <v>#REF!</v>
      </c>
      <c r="DG10" t="e">
        <f>AND(#REF!,"AAAAAHbtNm4=")</f>
        <v>#REF!</v>
      </c>
      <c r="DH10" t="e">
        <f>AND(#REF!,"AAAAAHbtNm8=")</f>
        <v>#REF!</v>
      </c>
      <c r="DI10" t="e">
        <f>AND(#REF!,"AAAAAHbtNnA=")</f>
        <v>#REF!</v>
      </c>
      <c r="DJ10" t="e">
        <f>AND(#REF!,"AAAAAHbtNnE=")</f>
        <v>#REF!</v>
      </c>
      <c r="DK10" t="e">
        <f>IF(#REF!,"AAAAAHbtNnI=",0)</f>
        <v>#REF!</v>
      </c>
      <c r="DL10" t="e">
        <f>AND(#REF!,"AAAAAHbtNnM=")</f>
        <v>#REF!</v>
      </c>
      <c r="DM10" t="e">
        <f>AND(#REF!,"AAAAAHbtNnQ=")</f>
        <v>#REF!</v>
      </c>
      <c r="DN10" t="e">
        <f>AND(#REF!,"AAAAAHbtNnU=")</f>
        <v>#REF!</v>
      </c>
      <c r="DO10" t="e">
        <f>AND(#REF!,"AAAAAHbtNnY=")</f>
        <v>#REF!</v>
      </c>
      <c r="DP10" t="e">
        <f>AND(#REF!,"AAAAAHbtNnc=")</f>
        <v>#REF!</v>
      </c>
      <c r="DQ10" t="e">
        <f>AND(#REF!,"AAAAAHbtNng=")</f>
        <v>#REF!</v>
      </c>
      <c r="DR10" t="e">
        <f>AND(#REF!,"AAAAAHbtNnk=")</f>
        <v>#REF!</v>
      </c>
      <c r="DS10" t="e">
        <f>AND(#REF!,"AAAAAHbtNno=")</f>
        <v>#REF!</v>
      </c>
      <c r="DT10" t="e">
        <f>AND(#REF!,"AAAAAHbtNns=")</f>
        <v>#REF!</v>
      </c>
      <c r="DU10" t="e">
        <f>AND(#REF!,"AAAAAHbtNnw=")</f>
        <v>#REF!</v>
      </c>
      <c r="DV10" t="e">
        <f>AND(#REF!,"AAAAAHbtNn0=")</f>
        <v>#REF!</v>
      </c>
      <c r="DW10" t="e">
        <f>AND(#REF!,"AAAAAHbtNn4=")</f>
        <v>#REF!</v>
      </c>
      <c r="DX10" t="e">
        <f>AND(#REF!,"AAAAAHbtNn8=")</f>
        <v>#REF!</v>
      </c>
      <c r="DY10" t="e">
        <f>AND(#REF!,"AAAAAHbtNoA=")</f>
        <v>#REF!</v>
      </c>
      <c r="DZ10" t="e">
        <f>AND(#REF!,"AAAAAHbtNoE=")</f>
        <v>#REF!</v>
      </c>
      <c r="EA10" t="e">
        <f>AND(#REF!,"AAAAAHbtNoI=")</f>
        <v>#REF!</v>
      </c>
      <c r="EB10" t="e">
        <f>AND(#REF!,"AAAAAHbtNoM=")</f>
        <v>#REF!</v>
      </c>
      <c r="EC10" t="e">
        <f>IF(#REF!,"AAAAAHbtNoQ=",0)</f>
        <v>#REF!</v>
      </c>
      <c r="ED10" t="e">
        <f>AND(#REF!,"AAAAAHbtNoU=")</f>
        <v>#REF!</v>
      </c>
      <c r="EE10" t="e">
        <f>AND(#REF!,"AAAAAHbtNoY=")</f>
        <v>#REF!</v>
      </c>
      <c r="EF10" t="e">
        <f>AND(#REF!,"AAAAAHbtNoc=")</f>
        <v>#REF!</v>
      </c>
      <c r="EG10" t="e">
        <f>AND(#REF!,"AAAAAHbtNog=")</f>
        <v>#REF!</v>
      </c>
      <c r="EH10" t="e">
        <f>AND(#REF!,"AAAAAHbtNok=")</f>
        <v>#REF!</v>
      </c>
      <c r="EI10" t="e">
        <f>AND(#REF!,"AAAAAHbtNoo=")</f>
        <v>#REF!</v>
      </c>
      <c r="EJ10" t="e">
        <f>AND(#REF!,"AAAAAHbtNos=")</f>
        <v>#REF!</v>
      </c>
      <c r="EK10" t="e">
        <f>AND(#REF!,"AAAAAHbtNow=")</f>
        <v>#REF!</v>
      </c>
      <c r="EL10" t="e">
        <f>AND(#REF!,"AAAAAHbtNo0=")</f>
        <v>#REF!</v>
      </c>
      <c r="EM10" t="e">
        <f>AND(#REF!,"AAAAAHbtNo4=")</f>
        <v>#REF!</v>
      </c>
      <c r="EN10" t="e">
        <f>AND(#REF!,"AAAAAHbtNo8=")</f>
        <v>#REF!</v>
      </c>
      <c r="EO10" t="e">
        <f>AND(#REF!,"AAAAAHbtNpA=")</f>
        <v>#REF!</v>
      </c>
      <c r="EP10" t="e">
        <f>AND(#REF!,"AAAAAHbtNpE=")</f>
        <v>#REF!</v>
      </c>
      <c r="EQ10" t="e">
        <f>AND(#REF!,"AAAAAHbtNpI=")</f>
        <v>#REF!</v>
      </c>
      <c r="ER10" t="e">
        <f>AND(#REF!,"AAAAAHbtNpM=")</f>
        <v>#REF!</v>
      </c>
      <c r="ES10" t="e">
        <f>AND(#REF!,"AAAAAHbtNpQ=")</f>
        <v>#REF!</v>
      </c>
      <c r="ET10" t="e">
        <f>AND(#REF!,"AAAAAHbtNpU=")</f>
        <v>#REF!</v>
      </c>
      <c r="EU10" t="e">
        <f>IF(#REF!,"AAAAAHbtNpY=",0)</f>
        <v>#REF!</v>
      </c>
      <c r="EV10" t="e">
        <f>AND(#REF!,"AAAAAHbtNpc=")</f>
        <v>#REF!</v>
      </c>
      <c r="EW10" t="e">
        <f>AND(#REF!,"AAAAAHbtNpg=")</f>
        <v>#REF!</v>
      </c>
      <c r="EX10" t="e">
        <f>AND(#REF!,"AAAAAHbtNpk=")</f>
        <v>#REF!</v>
      </c>
      <c r="EY10" t="e">
        <f>AND(#REF!,"AAAAAHbtNpo=")</f>
        <v>#REF!</v>
      </c>
      <c r="EZ10" t="e">
        <f>AND(#REF!,"AAAAAHbtNps=")</f>
        <v>#REF!</v>
      </c>
      <c r="FA10" t="e">
        <f>AND(#REF!,"AAAAAHbtNpw=")</f>
        <v>#REF!</v>
      </c>
      <c r="FB10" t="e">
        <f>AND(#REF!,"AAAAAHbtNp0=")</f>
        <v>#REF!</v>
      </c>
      <c r="FC10" t="e">
        <f>AND(#REF!,"AAAAAHbtNp4=")</f>
        <v>#REF!</v>
      </c>
      <c r="FD10" t="e">
        <f>AND(#REF!,"AAAAAHbtNp8=")</f>
        <v>#REF!</v>
      </c>
      <c r="FE10" t="e">
        <f>AND(#REF!,"AAAAAHbtNqA=")</f>
        <v>#REF!</v>
      </c>
      <c r="FF10" t="e">
        <f>AND(#REF!,"AAAAAHbtNqE=")</f>
        <v>#REF!</v>
      </c>
      <c r="FG10" t="e">
        <f>AND(#REF!,"AAAAAHbtNqI=")</f>
        <v>#REF!</v>
      </c>
      <c r="FH10" t="e">
        <f>AND(#REF!,"AAAAAHbtNqM=")</f>
        <v>#REF!</v>
      </c>
      <c r="FI10" t="e">
        <f>AND(#REF!,"AAAAAHbtNqQ=")</f>
        <v>#REF!</v>
      </c>
      <c r="FJ10" t="e">
        <f>AND(#REF!,"AAAAAHbtNqU=")</f>
        <v>#REF!</v>
      </c>
      <c r="FK10" t="e">
        <f>AND(#REF!,"AAAAAHbtNqY=")</f>
        <v>#REF!</v>
      </c>
      <c r="FL10" t="e">
        <f>AND(#REF!,"AAAAAHbtNqc=")</f>
        <v>#REF!</v>
      </c>
      <c r="FM10" t="e">
        <f>IF(#REF!,"AAAAAHbtNqg=",0)</f>
        <v>#REF!</v>
      </c>
      <c r="FN10" t="e">
        <f>AND(#REF!,"AAAAAHbtNqk=")</f>
        <v>#REF!</v>
      </c>
      <c r="FO10" t="e">
        <f>AND(#REF!,"AAAAAHbtNqo=")</f>
        <v>#REF!</v>
      </c>
      <c r="FP10" t="e">
        <f>AND(#REF!,"AAAAAHbtNqs=")</f>
        <v>#REF!</v>
      </c>
      <c r="FQ10" t="e">
        <f>AND(#REF!,"AAAAAHbtNqw=")</f>
        <v>#REF!</v>
      </c>
      <c r="FR10" t="e">
        <f>AND(#REF!,"AAAAAHbtNq0=")</f>
        <v>#REF!</v>
      </c>
      <c r="FS10" t="e">
        <f>AND(#REF!,"AAAAAHbtNq4=")</f>
        <v>#REF!</v>
      </c>
      <c r="FT10" t="e">
        <f>AND(#REF!,"AAAAAHbtNq8=")</f>
        <v>#REF!</v>
      </c>
      <c r="FU10" t="e">
        <f>IF(#REF!,"AAAAAHbtNrA=",0)</f>
        <v>#REF!</v>
      </c>
      <c r="FV10" t="e">
        <f>AND(#REF!,"AAAAAHbtNrE=")</f>
        <v>#REF!</v>
      </c>
      <c r="FW10" t="e">
        <f>AND(#REF!,"AAAAAHbtNrI=")</f>
        <v>#REF!</v>
      </c>
      <c r="FX10" t="e">
        <f>AND(#REF!,"AAAAAHbtNrM=")</f>
        <v>#REF!</v>
      </c>
      <c r="FY10" t="e">
        <f>AND(#REF!,"AAAAAHbtNrQ=")</f>
        <v>#REF!</v>
      </c>
      <c r="FZ10" t="e">
        <f>AND(#REF!,"AAAAAHbtNrU=")</f>
        <v>#REF!</v>
      </c>
      <c r="GA10" t="e">
        <f>AND(#REF!,"AAAAAHbtNrY=")</f>
        <v>#REF!</v>
      </c>
      <c r="GB10" t="e">
        <f>AND(#REF!,"AAAAAHbtNrc=")</f>
        <v>#REF!</v>
      </c>
      <c r="GC10" t="e">
        <f>IF(#REF!,"AAAAAHbtNrg=",0)</f>
        <v>#REF!</v>
      </c>
      <c r="GD10" t="e">
        <f>AND(#REF!,"AAAAAHbtNrk=")</f>
        <v>#REF!</v>
      </c>
      <c r="GE10" t="e">
        <f>AND(#REF!,"AAAAAHbtNro=")</f>
        <v>#REF!</v>
      </c>
      <c r="GF10" t="e">
        <f>AND(#REF!,"AAAAAHbtNrs=")</f>
        <v>#REF!</v>
      </c>
      <c r="GG10" t="e">
        <f>AND(#REF!,"AAAAAHbtNrw=")</f>
        <v>#REF!</v>
      </c>
      <c r="GH10" t="e">
        <f>AND(#REF!,"AAAAAHbtNr0=")</f>
        <v>#REF!</v>
      </c>
      <c r="GI10" t="e">
        <f>AND(#REF!,"AAAAAHbtNr4=")</f>
        <v>#REF!</v>
      </c>
      <c r="GJ10" t="e">
        <f>AND(#REF!,"AAAAAHbtNr8=")</f>
        <v>#REF!</v>
      </c>
      <c r="GK10" t="e">
        <f>IF(#REF!,"AAAAAHbtNsA=",0)</f>
        <v>#REF!</v>
      </c>
      <c r="GL10" t="e">
        <f>AND(#REF!,"AAAAAHbtNsE=")</f>
        <v>#REF!</v>
      </c>
      <c r="GM10" t="e">
        <f>AND(#REF!,"AAAAAHbtNsI=")</f>
        <v>#REF!</v>
      </c>
      <c r="GN10" t="e">
        <f>AND(#REF!,"AAAAAHbtNsM=")</f>
        <v>#REF!</v>
      </c>
      <c r="GO10" t="e">
        <f>AND(#REF!,"AAAAAHbtNsQ=")</f>
        <v>#REF!</v>
      </c>
      <c r="GP10" t="e">
        <f>AND(#REF!,"AAAAAHbtNsU=")</f>
        <v>#REF!</v>
      </c>
      <c r="GQ10" t="e">
        <f>AND(#REF!,"AAAAAHbtNsY=")</f>
        <v>#REF!</v>
      </c>
      <c r="GR10" t="e">
        <f>AND(#REF!,"AAAAAHbtNsc=")</f>
        <v>#REF!</v>
      </c>
      <c r="GS10" t="e">
        <f>IF(#REF!,"AAAAAHbtNsg=",0)</f>
        <v>#REF!</v>
      </c>
      <c r="GT10" t="e">
        <f>AND(#REF!,"AAAAAHbtNsk=")</f>
        <v>#REF!</v>
      </c>
      <c r="GU10" t="e">
        <f>AND(#REF!,"AAAAAHbtNso=")</f>
        <v>#REF!</v>
      </c>
      <c r="GV10" t="e">
        <f>AND(#REF!,"AAAAAHbtNss=")</f>
        <v>#REF!</v>
      </c>
      <c r="GW10" t="e">
        <f>AND(#REF!,"AAAAAHbtNsw=")</f>
        <v>#REF!</v>
      </c>
      <c r="GX10" t="e">
        <f>AND(#REF!,"AAAAAHbtNs0=")</f>
        <v>#REF!</v>
      </c>
      <c r="GY10" t="e">
        <f>AND(#REF!,"AAAAAHbtNs4=")</f>
        <v>#REF!</v>
      </c>
      <c r="GZ10" t="e">
        <f>AND(#REF!,"AAAAAHbtNs8=")</f>
        <v>#REF!</v>
      </c>
      <c r="HA10" t="e">
        <f>IF(#REF!,"AAAAAHbtNtA=",0)</f>
        <v>#REF!</v>
      </c>
      <c r="HB10" t="e">
        <f>IF(#REF!,"AAAAAHbtNtE=",0)</f>
        <v>#REF!</v>
      </c>
      <c r="HC10" t="e">
        <f>IF(#REF!,"AAAAAHbtNtI=",0)</f>
        <v>#REF!</v>
      </c>
      <c r="HD10" t="e">
        <f>IF(#REF!,"AAAAAHbtNtM=",0)</f>
        <v>#REF!</v>
      </c>
      <c r="HE10" t="e">
        <f>IF(#REF!,"AAAAAHbtNtQ=",0)</f>
        <v>#REF!</v>
      </c>
      <c r="HF10" t="e">
        <f>IF(#REF!,"AAAAAHbtNtU=",0)</f>
        <v>#REF!</v>
      </c>
      <c r="HG10" t="e">
        <f>IF(#REF!,"AAAAAHbtNtY=",0)</f>
        <v>#REF!</v>
      </c>
      <c r="HH10" t="e">
        <f>IF(#REF!,"AAAAAHbtNtc=",0)</f>
        <v>#REF!</v>
      </c>
      <c r="HI10" t="e">
        <f>IF(#REF!,"AAAAAHbtNtg=",0)</f>
        <v>#REF!</v>
      </c>
      <c r="HJ10" t="e">
        <f>IF(#REF!,"AAAAAHbtNtk=",0)</f>
        <v>#REF!</v>
      </c>
      <c r="HK10" t="e">
        <f>IF(#REF!,"AAAAAHbtNto=",0)</f>
        <v>#REF!</v>
      </c>
      <c r="HL10" t="e">
        <f>IF(#REF!,"AAAAAHbtNts=",0)</f>
        <v>#REF!</v>
      </c>
      <c r="HM10" t="e">
        <f>IF(#REF!,"AAAAAHbtNtw=",0)</f>
        <v>#REF!</v>
      </c>
      <c r="HN10" t="e">
        <f>IF(#REF!,"AAAAAHbtNt0=",0)</f>
        <v>#REF!</v>
      </c>
      <c r="HO10" t="e">
        <f>IF(#REF!,"AAAAAHbtNt4=",0)</f>
        <v>#REF!</v>
      </c>
      <c r="HP10" t="e">
        <f>IF(#REF!,"AAAAAHbtNt8=",0)</f>
        <v>#REF!</v>
      </c>
      <c r="HQ10" t="e">
        <f>IF(#REF!,"AAAAAHbtNuA=",0)</f>
        <v>#REF!</v>
      </c>
      <c r="HR10" t="e">
        <f>IF(#REF!,"AAAAAHbtNuE=",0)</f>
        <v>#REF!</v>
      </c>
      <c r="HS10" t="e">
        <f>AND(#REF!,"AAAAAHbtNuI=")</f>
        <v>#REF!</v>
      </c>
      <c r="HT10" t="e">
        <f>AND(#REF!,"AAAAAHbtNuM=")</f>
        <v>#REF!</v>
      </c>
      <c r="HU10" t="e">
        <f>AND(#REF!,"AAAAAHbtNuQ=")</f>
        <v>#REF!</v>
      </c>
      <c r="HV10" t="e">
        <f>AND(#REF!,"AAAAAHbtNuU=")</f>
        <v>#REF!</v>
      </c>
      <c r="HW10" t="e">
        <f>AND(#REF!,"AAAAAHbtNuY=")</f>
        <v>#REF!</v>
      </c>
      <c r="HX10" t="e">
        <f>AND(#REF!,"AAAAAHbtNuc=")</f>
        <v>#REF!</v>
      </c>
      <c r="HY10" t="e">
        <f>AND(#REF!,"AAAAAHbtNug=")</f>
        <v>#REF!</v>
      </c>
      <c r="HZ10" t="e">
        <f>AND(#REF!,"AAAAAHbtNuk=")</f>
        <v>#REF!</v>
      </c>
      <c r="IA10" t="e">
        <f>AND(#REF!,"AAAAAHbtNuo=")</f>
        <v>#REF!</v>
      </c>
      <c r="IB10" t="e">
        <f>AND(#REF!,"AAAAAHbtNus=")</f>
        <v>#REF!</v>
      </c>
      <c r="IC10" t="e">
        <f>AND(#REF!,"AAAAAHbtNuw=")</f>
        <v>#REF!</v>
      </c>
      <c r="ID10" t="e">
        <f>AND(#REF!,"AAAAAHbtNu0=")</f>
        <v>#REF!</v>
      </c>
      <c r="IE10" t="e">
        <f>AND(#REF!,"AAAAAHbtNu4=")</f>
        <v>#REF!</v>
      </c>
      <c r="IF10" t="e">
        <f>AND(#REF!,"AAAAAHbtNu8=")</f>
        <v>#REF!</v>
      </c>
      <c r="IG10" t="e">
        <f>AND(#REF!,"AAAAAHbtNvA=")</f>
        <v>#REF!</v>
      </c>
      <c r="IH10" t="e">
        <f>AND(#REF!,"AAAAAHbtNvE=")</f>
        <v>#REF!</v>
      </c>
      <c r="II10" t="e">
        <f>AND(#REF!,"AAAAAHbtNvI=")</f>
        <v>#REF!</v>
      </c>
      <c r="IJ10" t="e">
        <f>AND(#REF!,"AAAAAHbtNvM=")</f>
        <v>#REF!</v>
      </c>
      <c r="IK10" t="e">
        <f>AND(#REF!,"AAAAAHbtNvQ=")</f>
        <v>#REF!</v>
      </c>
      <c r="IL10" t="e">
        <f>AND(#REF!,"AAAAAHbtNvU=")</f>
        <v>#REF!</v>
      </c>
      <c r="IM10" t="e">
        <f>AND(#REF!,"AAAAAHbtNvY=")</f>
        <v>#REF!</v>
      </c>
      <c r="IN10" t="e">
        <f>AND(#REF!,"AAAAAHbtNvc=")</f>
        <v>#REF!</v>
      </c>
      <c r="IO10" t="e">
        <f>AND(#REF!,"AAAAAHbtNvg=")</f>
        <v>#REF!</v>
      </c>
      <c r="IP10" t="e">
        <f>AND(#REF!,"AAAAAHbtNvk=")</f>
        <v>#REF!</v>
      </c>
      <c r="IQ10" t="e">
        <f>AND(#REF!,"AAAAAHbtNvo=")</f>
        <v>#REF!</v>
      </c>
      <c r="IR10" t="e">
        <f>AND(#REF!,"AAAAAHbtNvs=")</f>
        <v>#REF!</v>
      </c>
      <c r="IS10" t="e">
        <f>AND(#REF!,"AAAAAHbtNvw=")</f>
        <v>#REF!</v>
      </c>
      <c r="IT10" t="e">
        <f>AND(#REF!,"AAAAAHbtNv0=")</f>
        <v>#REF!</v>
      </c>
      <c r="IU10" t="e">
        <f>IF(#REF!,"AAAAAHbtNv4=",0)</f>
        <v>#REF!</v>
      </c>
      <c r="IV10" t="e">
        <f>AND(#REF!,"AAAAAHbtNv8=")</f>
        <v>#REF!</v>
      </c>
    </row>
    <row r="11" spans="1:256" x14ac:dyDescent="0.2">
      <c r="A11" t="e">
        <f>AND(#REF!,"AAAAAD6//wA=")</f>
        <v>#REF!</v>
      </c>
      <c r="B11" t="e">
        <f>AND(#REF!,"AAAAAD6//wE=")</f>
        <v>#REF!</v>
      </c>
      <c r="C11" t="e">
        <f>AND(#REF!,"AAAAAD6//wI=")</f>
        <v>#REF!</v>
      </c>
      <c r="D11" t="e">
        <f>AND(#REF!,"AAAAAD6//wM=")</f>
        <v>#REF!</v>
      </c>
      <c r="E11" t="e">
        <f>AND(#REF!,"AAAAAD6//wQ=")</f>
        <v>#REF!</v>
      </c>
      <c r="F11" t="e">
        <f>AND(#REF!,"AAAAAD6//wU=")</f>
        <v>#REF!</v>
      </c>
      <c r="G11" t="e">
        <f>AND(#REF!,"AAAAAD6//wY=")</f>
        <v>#REF!</v>
      </c>
      <c r="H11" t="e">
        <f>AND(#REF!,"AAAAAD6//wc=")</f>
        <v>#REF!</v>
      </c>
      <c r="I11" t="e">
        <f>AND(#REF!,"AAAAAD6//wg=")</f>
        <v>#REF!</v>
      </c>
      <c r="J11" t="e">
        <f>AND(#REF!,"AAAAAD6//wk=")</f>
        <v>#REF!</v>
      </c>
      <c r="K11" t="e">
        <f>AND(#REF!,"AAAAAD6//wo=")</f>
        <v>#REF!</v>
      </c>
      <c r="L11" t="e">
        <f>AND(#REF!,"AAAAAD6//ws=")</f>
        <v>#REF!</v>
      </c>
      <c r="M11" t="e">
        <f>AND(#REF!,"AAAAAD6//ww=")</f>
        <v>#REF!</v>
      </c>
      <c r="N11" t="e">
        <f>AND(#REF!,"AAAAAD6//w0=")</f>
        <v>#REF!</v>
      </c>
      <c r="O11" t="e">
        <f>AND(#REF!,"AAAAAD6//w4=")</f>
        <v>#REF!</v>
      </c>
      <c r="P11" t="e">
        <f>AND(#REF!,"AAAAAD6//w8=")</f>
        <v>#REF!</v>
      </c>
      <c r="Q11" t="e">
        <f>AND(#REF!,"AAAAAD6//xA=")</f>
        <v>#REF!</v>
      </c>
      <c r="R11" t="e">
        <f>AND(#REF!,"AAAAAD6//xE=")</f>
        <v>#REF!</v>
      </c>
      <c r="S11" t="e">
        <f>AND(#REF!,"AAAAAD6//xI=")</f>
        <v>#REF!</v>
      </c>
      <c r="T11" t="e">
        <f>AND(#REF!,"AAAAAD6//xM=")</f>
        <v>#REF!</v>
      </c>
      <c r="U11" t="e">
        <f>AND(#REF!,"AAAAAD6//xQ=")</f>
        <v>#REF!</v>
      </c>
      <c r="V11" t="e">
        <f>AND(#REF!,"AAAAAD6//xU=")</f>
        <v>#REF!</v>
      </c>
      <c r="W11" t="e">
        <f>AND(#REF!,"AAAAAD6//xY=")</f>
        <v>#REF!</v>
      </c>
      <c r="X11" t="e">
        <f>AND(#REF!,"AAAAAD6//xc=")</f>
        <v>#REF!</v>
      </c>
      <c r="Y11" t="e">
        <f>AND(#REF!,"AAAAAD6//xg=")</f>
        <v>#REF!</v>
      </c>
      <c r="Z11" t="e">
        <f>AND(#REF!,"AAAAAD6//xk=")</f>
        <v>#REF!</v>
      </c>
      <c r="AA11" t="e">
        <f>AND(#REF!,"AAAAAD6//xo=")</f>
        <v>#REF!</v>
      </c>
      <c r="AB11" t="e">
        <f>IF(#REF!,"AAAAAD6//xs=",0)</f>
        <v>#REF!</v>
      </c>
      <c r="AC11" t="e">
        <f>AND(#REF!,"AAAAAD6//xw=")</f>
        <v>#REF!</v>
      </c>
      <c r="AD11" t="e">
        <f>AND(#REF!,"AAAAAD6//x0=")</f>
        <v>#REF!</v>
      </c>
      <c r="AE11" t="e">
        <f>AND(#REF!,"AAAAAD6//x4=")</f>
        <v>#REF!</v>
      </c>
      <c r="AF11" t="e">
        <f>AND(#REF!,"AAAAAD6//x8=")</f>
        <v>#REF!</v>
      </c>
      <c r="AG11" t="e">
        <f>AND(#REF!,"AAAAAD6//yA=")</f>
        <v>#REF!</v>
      </c>
      <c r="AH11" t="e">
        <f>AND(#REF!,"AAAAAD6//yE=")</f>
        <v>#REF!</v>
      </c>
      <c r="AI11" t="e">
        <f>AND(#REF!,"AAAAAD6//yI=")</f>
        <v>#REF!</v>
      </c>
      <c r="AJ11" t="e">
        <f>AND(#REF!,"AAAAAD6//yM=")</f>
        <v>#REF!</v>
      </c>
      <c r="AK11" t="e">
        <f>AND(#REF!,"AAAAAD6//yQ=")</f>
        <v>#REF!</v>
      </c>
      <c r="AL11" t="e">
        <f>AND(#REF!,"AAAAAD6//yU=")</f>
        <v>#REF!</v>
      </c>
      <c r="AM11" t="e">
        <f>AND(#REF!,"AAAAAD6//yY=")</f>
        <v>#REF!</v>
      </c>
      <c r="AN11" t="e">
        <f>AND(#REF!,"AAAAAD6//yc=")</f>
        <v>#REF!</v>
      </c>
      <c r="AO11" t="e">
        <f>AND(#REF!,"AAAAAD6//yg=")</f>
        <v>#REF!</v>
      </c>
      <c r="AP11" t="e">
        <f>AND(#REF!,"AAAAAD6//yk=")</f>
        <v>#REF!</v>
      </c>
      <c r="AQ11" t="e">
        <f>AND(#REF!,"AAAAAD6//yo=")</f>
        <v>#REF!</v>
      </c>
      <c r="AR11" t="e">
        <f>AND(#REF!,"AAAAAD6//ys=")</f>
        <v>#REF!</v>
      </c>
      <c r="AS11" t="e">
        <f>AND(#REF!,"AAAAAD6//yw=")</f>
        <v>#REF!</v>
      </c>
      <c r="AT11" t="e">
        <f>AND(#REF!,"AAAAAD6//y0=")</f>
        <v>#REF!</v>
      </c>
      <c r="AU11" t="e">
        <f>AND(#REF!,"AAAAAD6//y4=")</f>
        <v>#REF!</v>
      </c>
      <c r="AV11" t="e">
        <f>AND(#REF!,"AAAAAD6//y8=")</f>
        <v>#REF!</v>
      </c>
      <c r="AW11" t="e">
        <f>AND(#REF!,"AAAAAD6//zA=")</f>
        <v>#REF!</v>
      </c>
      <c r="AX11" t="e">
        <f>AND(#REF!,"AAAAAD6//zE=")</f>
        <v>#REF!</v>
      </c>
      <c r="AY11" t="e">
        <f>AND(#REF!,"AAAAAD6//zI=")</f>
        <v>#REF!</v>
      </c>
      <c r="AZ11" t="e">
        <f>AND(#REF!,"AAAAAD6//zM=")</f>
        <v>#REF!</v>
      </c>
      <c r="BA11" t="e">
        <f>AND(#REF!,"AAAAAD6//zQ=")</f>
        <v>#REF!</v>
      </c>
      <c r="BB11" t="e">
        <f>AND(#REF!,"AAAAAD6//zU=")</f>
        <v>#REF!</v>
      </c>
      <c r="BC11" t="e">
        <f>AND(#REF!,"AAAAAD6//zY=")</f>
        <v>#REF!</v>
      </c>
      <c r="BD11" t="e">
        <f>AND(#REF!,"AAAAAD6//zc=")</f>
        <v>#REF!</v>
      </c>
      <c r="BE11" t="e">
        <f>IF(#REF!,"AAAAAD6//zg=",0)</f>
        <v>#REF!</v>
      </c>
      <c r="BF11" t="e">
        <f>AND(#REF!,"AAAAAD6//zk=")</f>
        <v>#REF!</v>
      </c>
      <c r="BG11" t="e">
        <f>AND(#REF!,"AAAAAD6//zo=")</f>
        <v>#REF!</v>
      </c>
      <c r="BH11" t="e">
        <f>AND(#REF!,"AAAAAD6//zs=")</f>
        <v>#REF!</v>
      </c>
      <c r="BI11" t="e">
        <f>AND(#REF!,"AAAAAD6//zw=")</f>
        <v>#REF!</v>
      </c>
      <c r="BJ11" t="e">
        <f>AND(#REF!,"AAAAAD6//z0=")</f>
        <v>#REF!</v>
      </c>
      <c r="BK11" t="e">
        <f>AND(#REF!,"AAAAAD6//z4=")</f>
        <v>#REF!</v>
      </c>
      <c r="BL11" t="e">
        <f>AND(#REF!,"AAAAAD6//z8=")</f>
        <v>#REF!</v>
      </c>
      <c r="BM11" t="e">
        <f>AND(#REF!,"AAAAAD6//0A=")</f>
        <v>#REF!</v>
      </c>
      <c r="BN11" t="e">
        <f>AND(#REF!,"AAAAAD6//0E=")</f>
        <v>#REF!</v>
      </c>
      <c r="BO11" t="e">
        <f>AND(#REF!,"AAAAAD6//0I=")</f>
        <v>#REF!</v>
      </c>
      <c r="BP11" t="e">
        <f>AND(#REF!,"AAAAAD6//0M=")</f>
        <v>#REF!</v>
      </c>
      <c r="BQ11" t="e">
        <f>AND(#REF!,"AAAAAD6//0Q=")</f>
        <v>#REF!</v>
      </c>
      <c r="BR11" t="e">
        <f>AND(#REF!,"AAAAAD6//0U=")</f>
        <v>#REF!</v>
      </c>
      <c r="BS11" t="e">
        <f>AND(#REF!,"AAAAAD6//0Y=")</f>
        <v>#REF!</v>
      </c>
      <c r="BT11" t="e">
        <f>AND(#REF!,"AAAAAD6//0c=")</f>
        <v>#REF!</v>
      </c>
      <c r="BU11" t="e">
        <f>AND(#REF!,"AAAAAD6//0g=")</f>
        <v>#REF!</v>
      </c>
      <c r="BV11" t="e">
        <f>AND(#REF!,"AAAAAD6//0k=")</f>
        <v>#REF!</v>
      </c>
      <c r="BW11" t="e">
        <f>AND(#REF!,"AAAAAD6//0o=")</f>
        <v>#REF!</v>
      </c>
      <c r="BX11" t="e">
        <f>AND(#REF!,"AAAAAD6//0s=")</f>
        <v>#REF!</v>
      </c>
      <c r="BY11" t="e">
        <f>AND(#REF!,"AAAAAD6//0w=")</f>
        <v>#REF!</v>
      </c>
      <c r="BZ11" t="e">
        <f>AND(#REF!,"AAAAAD6//00=")</f>
        <v>#REF!</v>
      </c>
      <c r="CA11" t="e">
        <f>AND(#REF!,"AAAAAD6//04=")</f>
        <v>#REF!</v>
      </c>
      <c r="CB11" t="e">
        <f>AND(#REF!,"AAAAAD6//08=")</f>
        <v>#REF!</v>
      </c>
      <c r="CC11" t="e">
        <f>AND(#REF!,"AAAAAD6//1A=")</f>
        <v>#REF!</v>
      </c>
      <c r="CD11" t="e">
        <f>AND(#REF!,"AAAAAD6//1E=")</f>
        <v>#REF!</v>
      </c>
      <c r="CE11" t="e">
        <f>AND(#REF!,"AAAAAD6//1I=")</f>
        <v>#REF!</v>
      </c>
      <c r="CF11" t="e">
        <f>AND(#REF!,"AAAAAD6//1M=")</f>
        <v>#REF!</v>
      </c>
      <c r="CG11" t="e">
        <f>AND(#REF!,"AAAAAD6//1Q=")</f>
        <v>#REF!</v>
      </c>
      <c r="CH11" t="e">
        <f>IF(#REF!,"AAAAAD6//1U=",0)</f>
        <v>#REF!</v>
      </c>
      <c r="CI11" t="e">
        <f>AND(#REF!,"AAAAAD6//1Y=")</f>
        <v>#REF!</v>
      </c>
      <c r="CJ11" t="e">
        <f>AND(#REF!,"AAAAAD6//1c=")</f>
        <v>#REF!</v>
      </c>
      <c r="CK11" t="e">
        <f>AND(#REF!,"AAAAAD6//1g=")</f>
        <v>#REF!</v>
      </c>
      <c r="CL11" t="e">
        <f>AND(#REF!,"AAAAAD6//1k=")</f>
        <v>#REF!</v>
      </c>
      <c r="CM11" t="e">
        <f>AND(#REF!,"AAAAAD6//1o=")</f>
        <v>#REF!</v>
      </c>
      <c r="CN11" t="e">
        <f>AND(#REF!,"AAAAAD6//1s=")</f>
        <v>#REF!</v>
      </c>
      <c r="CO11" t="e">
        <f>AND(#REF!,"AAAAAD6//1w=")</f>
        <v>#REF!</v>
      </c>
      <c r="CP11" t="e">
        <f>AND(#REF!,"AAAAAD6//10=")</f>
        <v>#REF!</v>
      </c>
      <c r="CQ11" t="e">
        <f>AND(#REF!,"AAAAAD6//14=")</f>
        <v>#REF!</v>
      </c>
      <c r="CR11" t="e">
        <f>AND(#REF!,"AAAAAD6//18=")</f>
        <v>#REF!</v>
      </c>
      <c r="CS11" t="e">
        <f>AND(#REF!,"AAAAAD6//2A=")</f>
        <v>#REF!</v>
      </c>
      <c r="CT11" t="e">
        <f>AND(#REF!,"AAAAAD6//2E=")</f>
        <v>#REF!</v>
      </c>
      <c r="CU11" t="e">
        <f>AND(#REF!,"AAAAAD6//2I=")</f>
        <v>#REF!</v>
      </c>
      <c r="CV11" t="e">
        <f>AND(#REF!,"AAAAAD6//2M=")</f>
        <v>#REF!</v>
      </c>
      <c r="CW11" t="e">
        <f>AND(#REF!,"AAAAAD6//2Q=")</f>
        <v>#REF!</v>
      </c>
      <c r="CX11" t="e">
        <f>AND(#REF!,"AAAAAD6//2U=")</f>
        <v>#REF!</v>
      </c>
      <c r="CY11" t="e">
        <f>AND(#REF!,"AAAAAD6//2Y=")</f>
        <v>#REF!</v>
      </c>
      <c r="CZ11" t="e">
        <f>AND(#REF!,"AAAAAD6//2c=")</f>
        <v>#REF!</v>
      </c>
      <c r="DA11" t="e">
        <f>AND(#REF!,"AAAAAD6//2g=")</f>
        <v>#REF!</v>
      </c>
      <c r="DB11" t="e">
        <f>AND(#REF!,"AAAAAD6//2k=")</f>
        <v>#REF!</v>
      </c>
      <c r="DC11" t="e">
        <f>AND(#REF!,"AAAAAD6//2o=")</f>
        <v>#REF!</v>
      </c>
      <c r="DD11" t="e">
        <f>AND(#REF!,"AAAAAD6//2s=")</f>
        <v>#REF!</v>
      </c>
      <c r="DE11" t="e">
        <f>AND(#REF!,"AAAAAD6//2w=")</f>
        <v>#REF!</v>
      </c>
      <c r="DF11" t="e">
        <f>AND(#REF!,"AAAAAD6//20=")</f>
        <v>#REF!</v>
      </c>
      <c r="DG11" t="e">
        <f>AND(#REF!,"AAAAAD6//24=")</f>
        <v>#REF!</v>
      </c>
      <c r="DH11" t="e">
        <f>AND(#REF!,"AAAAAD6//28=")</f>
        <v>#REF!</v>
      </c>
      <c r="DI11" t="e">
        <f>AND(#REF!,"AAAAAD6//3A=")</f>
        <v>#REF!</v>
      </c>
      <c r="DJ11" t="e">
        <f>AND(#REF!,"AAAAAD6//3E=")</f>
        <v>#REF!</v>
      </c>
      <c r="DK11" t="e">
        <f>IF(#REF!,"AAAAAD6//3I=",0)</f>
        <v>#REF!</v>
      </c>
      <c r="DL11" t="e">
        <f>AND(#REF!,"AAAAAD6//3M=")</f>
        <v>#REF!</v>
      </c>
      <c r="DM11" t="e">
        <f>AND(#REF!,"AAAAAD6//3Q=")</f>
        <v>#REF!</v>
      </c>
      <c r="DN11" t="e">
        <f>AND(#REF!,"AAAAAD6//3U=")</f>
        <v>#REF!</v>
      </c>
      <c r="DO11" t="e">
        <f>AND(#REF!,"AAAAAD6//3Y=")</f>
        <v>#REF!</v>
      </c>
      <c r="DP11" t="e">
        <f>AND(#REF!,"AAAAAD6//3c=")</f>
        <v>#REF!</v>
      </c>
      <c r="DQ11" t="e">
        <f>AND(#REF!,"AAAAAD6//3g=")</f>
        <v>#REF!</v>
      </c>
      <c r="DR11" t="e">
        <f>AND(#REF!,"AAAAAD6//3k=")</f>
        <v>#REF!</v>
      </c>
      <c r="DS11" t="e">
        <f>AND(#REF!,"AAAAAD6//3o=")</f>
        <v>#REF!</v>
      </c>
      <c r="DT11" t="e">
        <f>AND(#REF!,"AAAAAD6//3s=")</f>
        <v>#REF!</v>
      </c>
      <c r="DU11" t="e">
        <f>AND(#REF!,"AAAAAD6//3w=")</f>
        <v>#REF!</v>
      </c>
      <c r="DV11" t="e">
        <f>AND(#REF!,"AAAAAD6//30=")</f>
        <v>#REF!</v>
      </c>
      <c r="DW11" t="e">
        <f>AND(#REF!,"AAAAAD6//34=")</f>
        <v>#REF!</v>
      </c>
      <c r="DX11" t="e">
        <f>AND(#REF!,"AAAAAD6//38=")</f>
        <v>#REF!</v>
      </c>
      <c r="DY11" t="e">
        <f>AND(#REF!,"AAAAAD6//4A=")</f>
        <v>#REF!</v>
      </c>
      <c r="DZ11" t="e">
        <f>AND(#REF!,"AAAAAD6//4E=")</f>
        <v>#REF!</v>
      </c>
      <c r="EA11" t="e">
        <f>AND(#REF!,"AAAAAD6//4I=")</f>
        <v>#REF!</v>
      </c>
      <c r="EB11" t="e">
        <f>AND(#REF!,"AAAAAD6//4M=")</f>
        <v>#REF!</v>
      </c>
      <c r="EC11" t="e">
        <f>AND(#REF!,"AAAAAD6//4Q=")</f>
        <v>#REF!</v>
      </c>
      <c r="ED11" t="e">
        <f>AND(#REF!,"AAAAAD6//4U=")</f>
        <v>#REF!</v>
      </c>
      <c r="EE11" t="e">
        <f>AND(#REF!,"AAAAAD6//4Y=")</f>
        <v>#REF!</v>
      </c>
      <c r="EF11" t="e">
        <f>AND(#REF!,"AAAAAD6//4c=")</f>
        <v>#REF!</v>
      </c>
      <c r="EG11" t="e">
        <f>AND(#REF!,"AAAAAD6//4g=")</f>
        <v>#REF!</v>
      </c>
      <c r="EH11" t="e">
        <f>AND(#REF!,"AAAAAD6//4k=")</f>
        <v>#REF!</v>
      </c>
      <c r="EI11" t="e">
        <f>AND(#REF!,"AAAAAD6//4o=")</f>
        <v>#REF!</v>
      </c>
      <c r="EJ11" t="e">
        <f>AND(#REF!,"AAAAAD6//4s=")</f>
        <v>#REF!</v>
      </c>
      <c r="EK11" t="e">
        <f>AND(#REF!,"AAAAAD6//4w=")</f>
        <v>#REF!</v>
      </c>
      <c r="EL11" t="e">
        <f>AND(#REF!,"AAAAAD6//40=")</f>
        <v>#REF!</v>
      </c>
      <c r="EM11" t="e">
        <f>AND(#REF!,"AAAAAD6//44=")</f>
        <v>#REF!</v>
      </c>
      <c r="EN11" t="e">
        <f>IF(#REF!,"AAAAAD6//48=",0)</f>
        <v>#REF!</v>
      </c>
      <c r="EO11" t="e">
        <f>AND(#REF!,"AAAAAD6//5A=")</f>
        <v>#REF!</v>
      </c>
      <c r="EP11" t="e">
        <f>AND(#REF!,"AAAAAD6//5E=")</f>
        <v>#REF!</v>
      </c>
      <c r="EQ11" t="e">
        <f>AND(#REF!,"AAAAAD6//5I=")</f>
        <v>#REF!</v>
      </c>
      <c r="ER11" t="e">
        <f>AND(#REF!,"AAAAAD6//5M=")</f>
        <v>#REF!</v>
      </c>
      <c r="ES11" t="e">
        <f>AND(#REF!,"AAAAAD6//5Q=")</f>
        <v>#REF!</v>
      </c>
      <c r="ET11" t="e">
        <f>AND(#REF!,"AAAAAD6//5U=")</f>
        <v>#REF!</v>
      </c>
      <c r="EU11" t="e">
        <f>AND(#REF!,"AAAAAD6//5Y=")</f>
        <v>#REF!</v>
      </c>
      <c r="EV11" t="e">
        <f>AND(#REF!,"AAAAAD6//5c=")</f>
        <v>#REF!</v>
      </c>
      <c r="EW11" t="e">
        <f>AND(#REF!,"AAAAAD6//5g=")</f>
        <v>#REF!</v>
      </c>
      <c r="EX11" t="e">
        <f>AND(#REF!,"AAAAAD6//5k=")</f>
        <v>#REF!</v>
      </c>
      <c r="EY11" t="e">
        <f>AND(#REF!,"AAAAAD6//5o=")</f>
        <v>#REF!</v>
      </c>
      <c r="EZ11" t="e">
        <f>AND(#REF!,"AAAAAD6//5s=")</f>
        <v>#REF!</v>
      </c>
      <c r="FA11" t="e">
        <f>AND(#REF!,"AAAAAD6//5w=")</f>
        <v>#REF!</v>
      </c>
      <c r="FB11" t="e">
        <f>AND(#REF!,"AAAAAD6//50=")</f>
        <v>#REF!</v>
      </c>
      <c r="FC11" t="e">
        <f>AND(#REF!,"AAAAAD6//54=")</f>
        <v>#REF!</v>
      </c>
      <c r="FD11" t="e">
        <f>AND(#REF!,"AAAAAD6//58=")</f>
        <v>#REF!</v>
      </c>
      <c r="FE11" t="e">
        <f>AND(#REF!,"AAAAAD6//6A=")</f>
        <v>#REF!</v>
      </c>
      <c r="FF11" t="e">
        <f>AND(#REF!,"AAAAAD6//6E=")</f>
        <v>#REF!</v>
      </c>
      <c r="FG11" t="e">
        <f>AND(#REF!,"AAAAAD6//6I=")</f>
        <v>#REF!</v>
      </c>
      <c r="FH11" t="e">
        <f>AND(#REF!,"AAAAAD6//6M=")</f>
        <v>#REF!</v>
      </c>
      <c r="FI11" t="e">
        <f>AND(#REF!,"AAAAAD6//6Q=")</f>
        <v>#REF!</v>
      </c>
      <c r="FJ11" t="e">
        <f>AND(#REF!,"AAAAAD6//6U=")</f>
        <v>#REF!</v>
      </c>
      <c r="FK11" t="e">
        <f>AND(#REF!,"AAAAAD6//6Y=")</f>
        <v>#REF!</v>
      </c>
      <c r="FL11" t="e">
        <f>AND(#REF!,"AAAAAD6//6c=")</f>
        <v>#REF!</v>
      </c>
      <c r="FM11" t="e">
        <f>AND(#REF!,"AAAAAD6//6g=")</f>
        <v>#REF!</v>
      </c>
      <c r="FN11" t="e">
        <f>AND(#REF!,"AAAAAD6//6k=")</f>
        <v>#REF!</v>
      </c>
      <c r="FO11" t="e">
        <f>AND(#REF!,"AAAAAD6//6o=")</f>
        <v>#REF!</v>
      </c>
      <c r="FP11" t="e">
        <f>AND(#REF!,"AAAAAD6//6s=")</f>
        <v>#REF!</v>
      </c>
      <c r="FQ11" t="e">
        <f>IF(#REF!,"AAAAAD6//6w=",0)</f>
        <v>#REF!</v>
      </c>
      <c r="FR11" t="e">
        <f>AND(#REF!,"AAAAAD6//60=")</f>
        <v>#REF!</v>
      </c>
      <c r="FS11" t="e">
        <f>AND(#REF!,"AAAAAD6//64=")</f>
        <v>#REF!</v>
      </c>
      <c r="FT11" t="e">
        <f>AND(#REF!,"AAAAAD6//68=")</f>
        <v>#REF!</v>
      </c>
      <c r="FU11" t="e">
        <f>AND(#REF!,"AAAAAD6//7A=")</f>
        <v>#REF!</v>
      </c>
      <c r="FV11" t="e">
        <f>AND(#REF!,"AAAAAD6//7E=")</f>
        <v>#REF!</v>
      </c>
      <c r="FW11" t="e">
        <f>AND(#REF!,"AAAAAD6//7I=")</f>
        <v>#REF!</v>
      </c>
      <c r="FX11" t="e">
        <f>AND(#REF!,"AAAAAD6//7M=")</f>
        <v>#REF!</v>
      </c>
      <c r="FY11" t="e">
        <f>AND(#REF!,"AAAAAD6//7Q=")</f>
        <v>#REF!</v>
      </c>
      <c r="FZ11" t="e">
        <f>AND(#REF!,"AAAAAD6//7U=")</f>
        <v>#REF!</v>
      </c>
      <c r="GA11" t="e">
        <f>AND(#REF!,"AAAAAD6//7Y=")</f>
        <v>#REF!</v>
      </c>
      <c r="GB11" t="e">
        <f>AND(#REF!,"AAAAAD6//7c=")</f>
        <v>#REF!</v>
      </c>
      <c r="GC11" t="e">
        <f>AND(#REF!,"AAAAAD6//7g=")</f>
        <v>#REF!</v>
      </c>
      <c r="GD11" t="e">
        <f>AND(#REF!,"AAAAAD6//7k=")</f>
        <v>#REF!</v>
      </c>
      <c r="GE11" t="e">
        <f>AND(#REF!,"AAAAAD6//7o=")</f>
        <v>#REF!</v>
      </c>
      <c r="GF11" t="e">
        <f>AND(#REF!,"AAAAAD6//7s=")</f>
        <v>#REF!</v>
      </c>
      <c r="GG11" t="e">
        <f>AND(#REF!,"AAAAAD6//7w=")</f>
        <v>#REF!</v>
      </c>
      <c r="GH11" t="e">
        <f>AND(#REF!,"AAAAAD6//70=")</f>
        <v>#REF!</v>
      </c>
      <c r="GI11" t="e">
        <f>AND(#REF!,"AAAAAD6//74=")</f>
        <v>#REF!</v>
      </c>
      <c r="GJ11" t="e">
        <f>AND(#REF!,"AAAAAD6//78=")</f>
        <v>#REF!</v>
      </c>
      <c r="GK11" t="e">
        <f>AND(#REF!,"AAAAAD6//8A=")</f>
        <v>#REF!</v>
      </c>
      <c r="GL11" t="e">
        <f>AND(#REF!,"AAAAAD6//8E=")</f>
        <v>#REF!</v>
      </c>
      <c r="GM11" t="e">
        <f>AND(#REF!,"AAAAAD6//8I=")</f>
        <v>#REF!</v>
      </c>
      <c r="GN11" t="e">
        <f>AND(#REF!,"AAAAAD6//8M=")</f>
        <v>#REF!</v>
      </c>
      <c r="GO11" t="e">
        <f>AND(#REF!,"AAAAAD6//8Q=")</f>
        <v>#REF!</v>
      </c>
      <c r="GP11" t="e">
        <f>AND(#REF!,"AAAAAD6//8U=")</f>
        <v>#REF!</v>
      </c>
      <c r="GQ11" t="e">
        <f>AND(#REF!,"AAAAAD6//8Y=")</f>
        <v>#REF!</v>
      </c>
      <c r="GR11" t="e">
        <f>AND(#REF!,"AAAAAD6//8c=")</f>
        <v>#REF!</v>
      </c>
      <c r="GS11" t="e">
        <f>AND(#REF!,"AAAAAD6//8g=")</f>
        <v>#REF!</v>
      </c>
      <c r="GT11" t="e">
        <f>IF(#REF!,"AAAAAD6//8k=",0)</f>
        <v>#REF!</v>
      </c>
      <c r="GU11" t="e">
        <f>AND(#REF!,"AAAAAD6//8o=")</f>
        <v>#REF!</v>
      </c>
      <c r="GV11" t="e">
        <f>AND(#REF!,"AAAAAD6//8s=")</f>
        <v>#REF!</v>
      </c>
      <c r="GW11" t="e">
        <f>AND(#REF!,"AAAAAD6//8w=")</f>
        <v>#REF!</v>
      </c>
      <c r="GX11" t="e">
        <f>AND(#REF!,"AAAAAD6//80=")</f>
        <v>#REF!</v>
      </c>
      <c r="GY11" t="e">
        <f>AND(#REF!,"AAAAAD6//84=")</f>
        <v>#REF!</v>
      </c>
      <c r="GZ11" t="e">
        <f>AND(#REF!,"AAAAAD6//88=")</f>
        <v>#REF!</v>
      </c>
      <c r="HA11" t="e">
        <f>AND(#REF!,"AAAAAD6//9A=")</f>
        <v>#REF!</v>
      </c>
      <c r="HB11" t="e">
        <f>AND(#REF!,"AAAAAD6//9E=")</f>
        <v>#REF!</v>
      </c>
      <c r="HC11" t="e">
        <f>AND(#REF!,"AAAAAD6//9I=")</f>
        <v>#REF!</v>
      </c>
      <c r="HD11" t="e">
        <f>AND(#REF!,"AAAAAD6//9M=")</f>
        <v>#REF!</v>
      </c>
      <c r="HE11" t="e">
        <f>AND(#REF!,"AAAAAD6//9Q=")</f>
        <v>#REF!</v>
      </c>
      <c r="HF11" t="e">
        <f>AND(#REF!,"AAAAAD6//9U=")</f>
        <v>#REF!</v>
      </c>
      <c r="HG11" t="e">
        <f>AND(#REF!,"AAAAAD6//9Y=")</f>
        <v>#REF!</v>
      </c>
      <c r="HH11" t="e">
        <f>AND(#REF!,"AAAAAD6//9c=")</f>
        <v>#REF!</v>
      </c>
      <c r="HI11" t="e">
        <f>AND(#REF!,"AAAAAD6//9g=")</f>
        <v>#REF!</v>
      </c>
      <c r="HJ11" t="e">
        <f>AND(#REF!,"AAAAAD6//9k=")</f>
        <v>#REF!</v>
      </c>
      <c r="HK11" t="e">
        <f>AND(#REF!,"AAAAAD6//9o=")</f>
        <v>#REF!</v>
      </c>
      <c r="HL11" t="e">
        <f>AND(#REF!,"AAAAAD6//9s=")</f>
        <v>#REF!</v>
      </c>
      <c r="HM11" t="e">
        <f>AND(#REF!,"AAAAAD6//9w=")</f>
        <v>#REF!</v>
      </c>
      <c r="HN11" t="e">
        <f>AND(#REF!,"AAAAAD6//90=")</f>
        <v>#REF!</v>
      </c>
      <c r="HO11" t="e">
        <f>AND(#REF!,"AAAAAD6//94=")</f>
        <v>#REF!</v>
      </c>
      <c r="HP11" t="e">
        <f>AND(#REF!,"AAAAAD6//98=")</f>
        <v>#REF!</v>
      </c>
      <c r="HQ11" t="e">
        <f>AND(#REF!,"AAAAAD6//+A=")</f>
        <v>#REF!</v>
      </c>
      <c r="HR11" t="e">
        <f>AND(#REF!,"AAAAAD6//+E=")</f>
        <v>#REF!</v>
      </c>
      <c r="HS11" t="e">
        <f>AND(#REF!,"AAAAAD6//+I=")</f>
        <v>#REF!</v>
      </c>
      <c r="HT11" t="e">
        <f>AND(#REF!,"AAAAAD6//+M=")</f>
        <v>#REF!</v>
      </c>
      <c r="HU11" t="e">
        <f>AND(#REF!,"AAAAAD6//+Q=")</f>
        <v>#REF!</v>
      </c>
      <c r="HV11" t="e">
        <f>AND(#REF!,"AAAAAD6//+U=")</f>
        <v>#REF!</v>
      </c>
      <c r="HW11" t="e">
        <f>IF(#REF!,"AAAAAD6//+Y=",0)</f>
        <v>#REF!</v>
      </c>
      <c r="HX11" t="e">
        <f>AND(#REF!,"AAAAAD6//+c=")</f>
        <v>#REF!</v>
      </c>
      <c r="HY11" t="e">
        <f>AND(#REF!,"AAAAAD6//+g=")</f>
        <v>#REF!</v>
      </c>
      <c r="HZ11" t="e">
        <f>AND(#REF!,"AAAAAD6//+k=")</f>
        <v>#REF!</v>
      </c>
      <c r="IA11" t="e">
        <f>AND(#REF!,"AAAAAD6//+o=")</f>
        <v>#REF!</v>
      </c>
      <c r="IB11" t="e">
        <f>AND(#REF!,"AAAAAD6//+s=")</f>
        <v>#REF!</v>
      </c>
      <c r="IC11" t="e">
        <f>AND(#REF!,"AAAAAD6//+w=")</f>
        <v>#REF!</v>
      </c>
      <c r="ID11" t="e">
        <f>AND(#REF!,"AAAAAD6//+0=")</f>
        <v>#REF!</v>
      </c>
      <c r="IE11" t="e">
        <f>AND(#REF!,"AAAAAD6//+4=")</f>
        <v>#REF!</v>
      </c>
      <c r="IF11" t="e">
        <f>AND(#REF!,"AAAAAD6//+8=")</f>
        <v>#REF!</v>
      </c>
      <c r="IG11" t="e">
        <f>AND(#REF!,"AAAAAD6///A=")</f>
        <v>#REF!</v>
      </c>
      <c r="IH11" t="e">
        <f>AND(#REF!,"AAAAAD6///E=")</f>
        <v>#REF!</v>
      </c>
      <c r="II11" t="e">
        <f>AND(#REF!,"AAAAAD6///I=")</f>
        <v>#REF!</v>
      </c>
      <c r="IJ11" t="e">
        <f>AND(#REF!,"AAAAAD6///M=")</f>
        <v>#REF!</v>
      </c>
      <c r="IK11" t="e">
        <f>AND(#REF!,"AAAAAD6///Q=")</f>
        <v>#REF!</v>
      </c>
      <c r="IL11" t="e">
        <f>AND(#REF!,"AAAAAD6///U=")</f>
        <v>#REF!</v>
      </c>
      <c r="IM11" t="e">
        <f>AND(#REF!,"AAAAAD6///Y=")</f>
        <v>#REF!</v>
      </c>
      <c r="IN11" t="e">
        <f>AND(#REF!,"AAAAAD6///c=")</f>
        <v>#REF!</v>
      </c>
      <c r="IO11" t="e">
        <f>AND(#REF!,"AAAAAD6///g=")</f>
        <v>#REF!</v>
      </c>
      <c r="IP11" t="e">
        <f>AND(#REF!,"AAAAAD6///k=")</f>
        <v>#REF!</v>
      </c>
      <c r="IQ11" t="e">
        <f>AND(#REF!,"AAAAAD6///o=")</f>
        <v>#REF!</v>
      </c>
      <c r="IR11" t="e">
        <f>AND(#REF!,"AAAAAD6///s=")</f>
        <v>#REF!</v>
      </c>
      <c r="IS11" t="e">
        <f>AND(#REF!,"AAAAAD6///w=")</f>
        <v>#REF!</v>
      </c>
      <c r="IT11" t="e">
        <f>AND(#REF!,"AAAAAD6///0=")</f>
        <v>#REF!</v>
      </c>
      <c r="IU11" t="e">
        <f>AND(#REF!,"AAAAAD6///4=")</f>
        <v>#REF!</v>
      </c>
      <c r="IV11" t="e">
        <f>AND(#REF!,"AAAAAD6///8=")</f>
        <v>#REF!</v>
      </c>
    </row>
    <row r="12" spans="1:256" x14ac:dyDescent="0.2">
      <c r="A12" t="e">
        <f>AND(#REF!,"AAAAAH2drwA=")</f>
        <v>#REF!</v>
      </c>
      <c r="B12" t="e">
        <f>AND(#REF!,"AAAAAH2drwE=")</f>
        <v>#REF!</v>
      </c>
      <c r="C12" t="e">
        <f>AND(#REF!,"AAAAAH2drwI=")</f>
        <v>#REF!</v>
      </c>
      <c r="D12" t="e">
        <f>IF(#REF!,"AAAAAH2drwM=",0)</f>
        <v>#REF!</v>
      </c>
      <c r="E12" t="e">
        <f>AND(#REF!,"AAAAAH2drwQ=")</f>
        <v>#REF!</v>
      </c>
      <c r="F12" t="e">
        <f>AND(#REF!,"AAAAAH2drwU=")</f>
        <v>#REF!</v>
      </c>
      <c r="G12" t="e">
        <f>AND(#REF!,"AAAAAH2drwY=")</f>
        <v>#REF!</v>
      </c>
      <c r="H12" t="e">
        <f>AND(#REF!,"AAAAAH2drwc=")</f>
        <v>#REF!</v>
      </c>
      <c r="I12" t="e">
        <f>AND(#REF!,"AAAAAH2drwg=")</f>
        <v>#REF!</v>
      </c>
      <c r="J12" t="e">
        <f>AND(#REF!,"AAAAAH2drwk=")</f>
        <v>#REF!</v>
      </c>
      <c r="K12" t="e">
        <f>AND(#REF!,"AAAAAH2drwo=")</f>
        <v>#REF!</v>
      </c>
      <c r="L12" t="e">
        <f>AND(#REF!,"AAAAAH2drws=")</f>
        <v>#REF!</v>
      </c>
      <c r="M12" t="e">
        <f>AND(#REF!,"AAAAAH2drww=")</f>
        <v>#REF!</v>
      </c>
      <c r="N12" t="e">
        <f>AND(#REF!,"AAAAAH2drw0=")</f>
        <v>#REF!</v>
      </c>
      <c r="O12" t="e">
        <f>AND(#REF!,"AAAAAH2drw4=")</f>
        <v>#REF!</v>
      </c>
      <c r="P12" t="e">
        <f>AND(#REF!,"AAAAAH2drw8=")</f>
        <v>#REF!</v>
      </c>
      <c r="Q12" t="e">
        <f>AND(#REF!,"AAAAAH2drxA=")</f>
        <v>#REF!</v>
      </c>
      <c r="R12" t="e">
        <f>AND(#REF!,"AAAAAH2drxE=")</f>
        <v>#REF!</v>
      </c>
      <c r="S12" t="e">
        <f>AND(#REF!,"AAAAAH2drxI=")</f>
        <v>#REF!</v>
      </c>
      <c r="T12" t="e">
        <f>AND(#REF!,"AAAAAH2drxM=")</f>
        <v>#REF!</v>
      </c>
      <c r="U12" t="e">
        <f>AND(#REF!,"AAAAAH2drxQ=")</f>
        <v>#REF!</v>
      </c>
      <c r="V12" t="e">
        <f>AND(#REF!,"AAAAAH2drxU=")</f>
        <v>#REF!</v>
      </c>
      <c r="W12" t="e">
        <f>AND(#REF!,"AAAAAH2drxY=")</f>
        <v>#REF!</v>
      </c>
      <c r="X12" t="e">
        <f>AND(#REF!,"AAAAAH2drxc=")</f>
        <v>#REF!</v>
      </c>
      <c r="Y12" t="e">
        <f>AND(#REF!,"AAAAAH2drxg=")</f>
        <v>#REF!</v>
      </c>
      <c r="Z12" t="e">
        <f>AND(#REF!,"AAAAAH2drxk=")</f>
        <v>#REF!</v>
      </c>
      <c r="AA12" t="e">
        <f>AND(#REF!,"AAAAAH2drxo=")</f>
        <v>#REF!</v>
      </c>
      <c r="AB12" t="e">
        <f>AND(#REF!,"AAAAAH2drxs=")</f>
        <v>#REF!</v>
      </c>
      <c r="AC12" t="e">
        <f>AND(#REF!,"AAAAAH2drxw=")</f>
        <v>#REF!</v>
      </c>
      <c r="AD12" t="e">
        <f>AND(#REF!,"AAAAAH2drx0=")</f>
        <v>#REF!</v>
      </c>
      <c r="AE12" t="e">
        <f>AND(#REF!,"AAAAAH2drx4=")</f>
        <v>#REF!</v>
      </c>
      <c r="AF12" t="e">
        <f>AND(#REF!,"AAAAAH2drx8=")</f>
        <v>#REF!</v>
      </c>
      <c r="AG12" t="e">
        <f>IF(#REF!,"AAAAAH2dryA=",0)</f>
        <v>#REF!</v>
      </c>
      <c r="AH12" t="e">
        <f>AND(#REF!,"AAAAAH2dryE=")</f>
        <v>#REF!</v>
      </c>
      <c r="AI12" t="e">
        <f>AND(#REF!,"AAAAAH2dryI=")</f>
        <v>#REF!</v>
      </c>
      <c r="AJ12" t="e">
        <f>AND(#REF!,"AAAAAH2dryM=")</f>
        <v>#REF!</v>
      </c>
      <c r="AK12" t="e">
        <f>AND(#REF!,"AAAAAH2dryQ=")</f>
        <v>#REF!</v>
      </c>
      <c r="AL12" t="e">
        <f>AND(#REF!,"AAAAAH2dryU=")</f>
        <v>#REF!</v>
      </c>
      <c r="AM12" t="e">
        <f>AND(#REF!,"AAAAAH2dryY=")</f>
        <v>#REF!</v>
      </c>
      <c r="AN12" t="e">
        <f>AND(#REF!,"AAAAAH2dryc=")</f>
        <v>#REF!</v>
      </c>
      <c r="AO12" t="e">
        <f>AND(#REF!,"AAAAAH2dryg=")</f>
        <v>#REF!</v>
      </c>
      <c r="AP12" t="e">
        <f>AND(#REF!,"AAAAAH2dryk=")</f>
        <v>#REF!</v>
      </c>
      <c r="AQ12" t="e">
        <f>AND(#REF!,"AAAAAH2dryo=")</f>
        <v>#REF!</v>
      </c>
      <c r="AR12" t="e">
        <f>AND(#REF!,"AAAAAH2drys=")</f>
        <v>#REF!</v>
      </c>
      <c r="AS12" t="e">
        <f>AND(#REF!,"AAAAAH2dryw=")</f>
        <v>#REF!</v>
      </c>
      <c r="AT12" t="e">
        <f>AND(#REF!,"AAAAAH2dry0=")</f>
        <v>#REF!</v>
      </c>
      <c r="AU12" t="e">
        <f>AND(#REF!,"AAAAAH2dry4=")</f>
        <v>#REF!</v>
      </c>
      <c r="AV12" t="e">
        <f>AND(#REF!,"AAAAAH2dry8=")</f>
        <v>#REF!</v>
      </c>
      <c r="AW12" t="e">
        <f>AND(#REF!,"AAAAAH2drzA=")</f>
        <v>#REF!</v>
      </c>
      <c r="AX12" t="e">
        <f>AND(#REF!,"AAAAAH2drzE=")</f>
        <v>#REF!</v>
      </c>
      <c r="AY12" t="e">
        <f>AND(#REF!,"AAAAAH2drzI=")</f>
        <v>#REF!</v>
      </c>
      <c r="AZ12" t="e">
        <f>AND(#REF!,"AAAAAH2drzM=")</f>
        <v>#REF!</v>
      </c>
      <c r="BA12" t="e">
        <f>AND(#REF!,"AAAAAH2drzQ=")</f>
        <v>#REF!</v>
      </c>
      <c r="BB12" t="e">
        <f>AND(#REF!,"AAAAAH2drzU=")</f>
        <v>#REF!</v>
      </c>
      <c r="BC12" t="e">
        <f>AND(#REF!,"AAAAAH2drzY=")</f>
        <v>#REF!</v>
      </c>
      <c r="BD12" t="e">
        <f>AND(#REF!,"AAAAAH2drzc=")</f>
        <v>#REF!</v>
      </c>
      <c r="BE12" t="e">
        <f>AND(#REF!,"AAAAAH2drzg=")</f>
        <v>#REF!</v>
      </c>
      <c r="BF12" t="e">
        <f>AND(#REF!,"AAAAAH2drzk=")</f>
        <v>#REF!</v>
      </c>
      <c r="BG12" t="e">
        <f>AND(#REF!,"AAAAAH2drzo=")</f>
        <v>#REF!</v>
      </c>
      <c r="BH12" t="e">
        <f>AND(#REF!,"AAAAAH2drzs=")</f>
        <v>#REF!</v>
      </c>
      <c r="BI12" t="e">
        <f>AND(#REF!,"AAAAAH2drzw=")</f>
        <v>#REF!</v>
      </c>
      <c r="BJ12" t="e">
        <f>IF(#REF!,"AAAAAH2drz0=",0)</f>
        <v>#REF!</v>
      </c>
      <c r="BK12" t="e">
        <f>AND(#REF!,"AAAAAH2drz4=")</f>
        <v>#REF!</v>
      </c>
      <c r="BL12" t="e">
        <f>AND(#REF!,"AAAAAH2drz8=")</f>
        <v>#REF!</v>
      </c>
      <c r="BM12" t="e">
        <f>AND(#REF!,"AAAAAH2dr0A=")</f>
        <v>#REF!</v>
      </c>
      <c r="BN12" t="e">
        <f>AND(#REF!,"AAAAAH2dr0E=")</f>
        <v>#REF!</v>
      </c>
      <c r="BO12" t="e">
        <f>AND(#REF!,"AAAAAH2dr0I=")</f>
        <v>#REF!</v>
      </c>
      <c r="BP12" t="e">
        <f>AND(#REF!,"AAAAAH2dr0M=")</f>
        <v>#REF!</v>
      </c>
      <c r="BQ12" t="e">
        <f>AND(#REF!,"AAAAAH2dr0Q=")</f>
        <v>#REF!</v>
      </c>
      <c r="BR12" t="e">
        <f>AND(#REF!,"AAAAAH2dr0U=")</f>
        <v>#REF!</v>
      </c>
      <c r="BS12" t="e">
        <f>AND(#REF!,"AAAAAH2dr0Y=")</f>
        <v>#REF!</v>
      </c>
      <c r="BT12" t="e">
        <f>AND(#REF!,"AAAAAH2dr0c=")</f>
        <v>#REF!</v>
      </c>
      <c r="BU12" t="e">
        <f>AND(#REF!,"AAAAAH2dr0g=")</f>
        <v>#REF!</v>
      </c>
      <c r="BV12" t="e">
        <f>AND(#REF!,"AAAAAH2dr0k=")</f>
        <v>#REF!</v>
      </c>
      <c r="BW12" t="e">
        <f>AND(#REF!,"AAAAAH2dr0o=")</f>
        <v>#REF!</v>
      </c>
      <c r="BX12" t="e">
        <f>AND(#REF!,"AAAAAH2dr0s=")</f>
        <v>#REF!</v>
      </c>
      <c r="BY12" t="e">
        <f>AND(#REF!,"AAAAAH2dr0w=")</f>
        <v>#REF!</v>
      </c>
      <c r="BZ12" t="e">
        <f>AND(#REF!,"AAAAAH2dr00=")</f>
        <v>#REF!</v>
      </c>
      <c r="CA12" t="e">
        <f>AND(#REF!,"AAAAAH2dr04=")</f>
        <v>#REF!</v>
      </c>
      <c r="CB12" t="e">
        <f>AND(#REF!,"AAAAAH2dr08=")</f>
        <v>#REF!</v>
      </c>
      <c r="CC12" t="e">
        <f>AND(#REF!,"AAAAAH2dr1A=")</f>
        <v>#REF!</v>
      </c>
      <c r="CD12" t="e">
        <f>AND(#REF!,"AAAAAH2dr1E=")</f>
        <v>#REF!</v>
      </c>
      <c r="CE12" t="e">
        <f>AND(#REF!,"AAAAAH2dr1I=")</f>
        <v>#REF!</v>
      </c>
      <c r="CF12" t="e">
        <f>AND(#REF!,"AAAAAH2dr1M=")</f>
        <v>#REF!</v>
      </c>
      <c r="CG12" t="e">
        <f>AND(#REF!,"AAAAAH2dr1Q=")</f>
        <v>#REF!</v>
      </c>
      <c r="CH12" t="e">
        <f>AND(#REF!,"AAAAAH2dr1U=")</f>
        <v>#REF!</v>
      </c>
      <c r="CI12" t="e">
        <f>AND(#REF!,"AAAAAH2dr1Y=")</f>
        <v>#REF!</v>
      </c>
      <c r="CJ12" t="e">
        <f>AND(#REF!,"AAAAAH2dr1c=")</f>
        <v>#REF!</v>
      </c>
      <c r="CK12" t="e">
        <f>AND(#REF!,"AAAAAH2dr1g=")</f>
        <v>#REF!</v>
      </c>
      <c r="CL12" t="e">
        <f>AND(#REF!,"AAAAAH2dr1k=")</f>
        <v>#REF!</v>
      </c>
      <c r="CM12" t="e">
        <f>IF(#REF!,"AAAAAH2dr1o=",0)</f>
        <v>#REF!</v>
      </c>
      <c r="CN12" t="e">
        <f>AND(#REF!,"AAAAAH2dr1s=")</f>
        <v>#REF!</v>
      </c>
      <c r="CO12" t="e">
        <f>AND(#REF!,"AAAAAH2dr1w=")</f>
        <v>#REF!</v>
      </c>
      <c r="CP12" t="e">
        <f>AND(#REF!,"AAAAAH2dr10=")</f>
        <v>#REF!</v>
      </c>
      <c r="CQ12" t="e">
        <f>AND(#REF!,"AAAAAH2dr14=")</f>
        <v>#REF!</v>
      </c>
      <c r="CR12" t="e">
        <f>AND(#REF!,"AAAAAH2dr18=")</f>
        <v>#REF!</v>
      </c>
      <c r="CS12" t="e">
        <f>AND(#REF!,"AAAAAH2dr2A=")</f>
        <v>#REF!</v>
      </c>
      <c r="CT12" t="e">
        <f>AND(#REF!,"AAAAAH2dr2E=")</f>
        <v>#REF!</v>
      </c>
      <c r="CU12" t="e">
        <f>AND(#REF!,"AAAAAH2dr2I=")</f>
        <v>#REF!</v>
      </c>
      <c r="CV12" t="e">
        <f>AND(#REF!,"AAAAAH2dr2M=")</f>
        <v>#REF!</v>
      </c>
      <c r="CW12" t="e">
        <f>AND(#REF!,"AAAAAH2dr2Q=")</f>
        <v>#REF!</v>
      </c>
      <c r="CX12" t="e">
        <f>AND(#REF!,"AAAAAH2dr2U=")</f>
        <v>#REF!</v>
      </c>
      <c r="CY12" t="e">
        <f>AND(#REF!,"AAAAAH2dr2Y=")</f>
        <v>#REF!</v>
      </c>
      <c r="CZ12" t="e">
        <f>AND(#REF!,"AAAAAH2dr2c=")</f>
        <v>#REF!</v>
      </c>
      <c r="DA12" t="e">
        <f>AND(#REF!,"AAAAAH2dr2g=")</f>
        <v>#REF!</v>
      </c>
      <c r="DB12" t="e">
        <f>AND(#REF!,"AAAAAH2dr2k=")</f>
        <v>#REF!</v>
      </c>
      <c r="DC12" t="e">
        <f>AND(#REF!,"AAAAAH2dr2o=")</f>
        <v>#REF!</v>
      </c>
      <c r="DD12" t="e">
        <f>AND(#REF!,"AAAAAH2dr2s=")</f>
        <v>#REF!</v>
      </c>
      <c r="DE12" t="e">
        <f>AND(#REF!,"AAAAAH2dr2w=")</f>
        <v>#REF!</v>
      </c>
      <c r="DF12" t="e">
        <f>AND(#REF!,"AAAAAH2dr20=")</f>
        <v>#REF!</v>
      </c>
      <c r="DG12" t="e">
        <f>AND(#REF!,"AAAAAH2dr24=")</f>
        <v>#REF!</v>
      </c>
      <c r="DH12" t="e">
        <f>AND(#REF!,"AAAAAH2dr28=")</f>
        <v>#REF!</v>
      </c>
      <c r="DI12" t="e">
        <f>AND(#REF!,"AAAAAH2dr3A=")</f>
        <v>#REF!</v>
      </c>
      <c r="DJ12" t="e">
        <f>AND(#REF!,"AAAAAH2dr3E=")</f>
        <v>#REF!</v>
      </c>
      <c r="DK12" t="e">
        <f>AND(#REF!,"AAAAAH2dr3I=")</f>
        <v>#REF!</v>
      </c>
      <c r="DL12" t="e">
        <f>AND(#REF!,"AAAAAH2dr3M=")</f>
        <v>#REF!</v>
      </c>
      <c r="DM12" t="e">
        <f>AND(#REF!,"AAAAAH2dr3Q=")</f>
        <v>#REF!</v>
      </c>
      <c r="DN12" t="e">
        <f>AND(#REF!,"AAAAAH2dr3U=")</f>
        <v>#REF!</v>
      </c>
      <c r="DO12" t="e">
        <f>AND(#REF!,"AAAAAH2dr3Y=")</f>
        <v>#REF!</v>
      </c>
      <c r="DP12" t="e">
        <f>IF(#REF!,"AAAAAH2dr3c=",0)</f>
        <v>#REF!</v>
      </c>
      <c r="DQ12" t="e">
        <f>AND(#REF!,"AAAAAH2dr3g=")</f>
        <v>#REF!</v>
      </c>
      <c r="DR12" t="e">
        <f>AND(#REF!,"AAAAAH2dr3k=")</f>
        <v>#REF!</v>
      </c>
      <c r="DS12" t="e">
        <f>AND(#REF!,"AAAAAH2dr3o=")</f>
        <v>#REF!</v>
      </c>
      <c r="DT12" t="e">
        <f>AND(#REF!,"AAAAAH2dr3s=")</f>
        <v>#REF!</v>
      </c>
      <c r="DU12" t="e">
        <f>AND(#REF!,"AAAAAH2dr3w=")</f>
        <v>#REF!</v>
      </c>
      <c r="DV12" t="e">
        <f>AND(#REF!,"AAAAAH2dr30=")</f>
        <v>#REF!</v>
      </c>
      <c r="DW12" t="e">
        <f>AND(#REF!,"AAAAAH2dr34=")</f>
        <v>#REF!</v>
      </c>
      <c r="DX12" t="e">
        <f>AND(#REF!,"AAAAAH2dr38=")</f>
        <v>#REF!</v>
      </c>
      <c r="DY12" t="e">
        <f>AND(#REF!,"AAAAAH2dr4A=")</f>
        <v>#REF!</v>
      </c>
      <c r="DZ12" t="e">
        <f>AND(#REF!,"AAAAAH2dr4E=")</f>
        <v>#REF!</v>
      </c>
      <c r="EA12" t="e">
        <f>AND(#REF!,"AAAAAH2dr4I=")</f>
        <v>#REF!</v>
      </c>
      <c r="EB12" t="e">
        <f>AND(#REF!,"AAAAAH2dr4M=")</f>
        <v>#REF!</v>
      </c>
      <c r="EC12" t="e">
        <f>AND(#REF!,"AAAAAH2dr4Q=")</f>
        <v>#REF!</v>
      </c>
      <c r="ED12" t="e">
        <f>AND(#REF!,"AAAAAH2dr4U=")</f>
        <v>#REF!</v>
      </c>
      <c r="EE12" t="e">
        <f>AND(#REF!,"AAAAAH2dr4Y=")</f>
        <v>#REF!</v>
      </c>
      <c r="EF12" t="e">
        <f>AND(#REF!,"AAAAAH2dr4c=")</f>
        <v>#REF!</v>
      </c>
      <c r="EG12" t="e">
        <f>AND(#REF!,"AAAAAH2dr4g=")</f>
        <v>#REF!</v>
      </c>
      <c r="EH12" t="e">
        <f>AND(#REF!,"AAAAAH2dr4k=")</f>
        <v>#REF!</v>
      </c>
      <c r="EI12" t="e">
        <f>AND(#REF!,"AAAAAH2dr4o=")</f>
        <v>#REF!</v>
      </c>
      <c r="EJ12" t="e">
        <f>AND(#REF!,"AAAAAH2dr4s=")</f>
        <v>#REF!</v>
      </c>
      <c r="EK12" t="e">
        <f>AND(#REF!,"AAAAAH2dr4w=")</f>
        <v>#REF!</v>
      </c>
      <c r="EL12" t="e">
        <f>AND(#REF!,"AAAAAH2dr40=")</f>
        <v>#REF!</v>
      </c>
      <c r="EM12" t="e">
        <f>AND(#REF!,"AAAAAH2dr44=")</f>
        <v>#REF!</v>
      </c>
      <c r="EN12" t="e">
        <f>AND(#REF!,"AAAAAH2dr48=")</f>
        <v>#REF!</v>
      </c>
      <c r="EO12" t="e">
        <f>AND(#REF!,"AAAAAH2dr5A=")</f>
        <v>#REF!</v>
      </c>
      <c r="EP12" t="e">
        <f>AND(#REF!,"AAAAAH2dr5E=")</f>
        <v>#REF!</v>
      </c>
      <c r="EQ12" t="e">
        <f>AND(#REF!,"AAAAAH2dr5I=")</f>
        <v>#REF!</v>
      </c>
      <c r="ER12" t="e">
        <f>AND(#REF!,"AAAAAH2dr5M=")</f>
        <v>#REF!</v>
      </c>
      <c r="ES12" t="e">
        <f>IF(#REF!,"AAAAAH2dr5Q=",0)</f>
        <v>#REF!</v>
      </c>
      <c r="ET12" t="e">
        <f>AND(#REF!,"AAAAAH2dr5U=")</f>
        <v>#REF!</v>
      </c>
      <c r="EU12" t="e">
        <f>AND(#REF!,"AAAAAH2dr5Y=")</f>
        <v>#REF!</v>
      </c>
      <c r="EV12" t="e">
        <f>AND(#REF!,"AAAAAH2dr5c=")</f>
        <v>#REF!</v>
      </c>
      <c r="EW12" t="e">
        <f>AND(#REF!,"AAAAAH2dr5g=")</f>
        <v>#REF!</v>
      </c>
      <c r="EX12" t="e">
        <f>AND(#REF!,"AAAAAH2dr5k=")</f>
        <v>#REF!</v>
      </c>
      <c r="EY12" t="e">
        <f>AND(#REF!,"AAAAAH2dr5o=")</f>
        <v>#REF!</v>
      </c>
      <c r="EZ12" t="e">
        <f>AND(#REF!,"AAAAAH2dr5s=")</f>
        <v>#REF!</v>
      </c>
      <c r="FA12" t="e">
        <f>AND(#REF!,"AAAAAH2dr5w=")</f>
        <v>#REF!</v>
      </c>
      <c r="FB12" t="e">
        <f>AND(#REF!,"AAAAAH2dr50=")</f>
        <v>#REF!</v>
      </c>
      <c r="FC12" t="e">
        <f>AND(#REF!,"AAAAAH2dr54=")</f>
        <v>#REF!</v>
      </c>
      <c r="FD12" t="e">
        <f>AND(#REF!,"AAAAAH2dr58=")</f>
        <v>#REF!</v>
      </c>
      <c r="FE12" t="e">
        <f>AND(#REF!,"AAAAAH2dr6A=")</f>
        <v>#REF!</v>
      </c>
      <c r="FF12" t="e">
        <f>AND(#REF!,"AAAAAH2dr6E=")</f>
        <v>#REF!</v>
      </c>
      <c r="FG12" t="e">
        <f>AND(#REF!,"AAAAAH2dr6I=")</f>
        <v>#REF!</v>
      </c>
      <c r="FH12" t="e">
        <f>AND(#REF!,"AAAAAH2dr6M=")</f>
        <v>#REF!</v>
      </c>
      <c r="FI12" t="e">
        <f>AND(#REF!,"AAAAAH2dr6Q=")</f>
        <v>#REF!</v>
      </c>
      <c r="FJ12" t="e">
        <f>AND(#REF!,"AAAAAH2dr6U=")</f>
        <v>#REF!</v>
      </c>
      <c r="FK12" t="e">
        <f>AND(#REF!,"AAAAAH2dr6Y=")</f>
        <v>#REF!</v>
      </c>
      <c r="FL12" t="e">
        <f>AND(#REF!,"AAAAAH2dr6c=")</f>
        <v>#REF!</v>
      </c>
      <c r="FM12" t="e">
        <f>AND(#REF!,"AAAAAH2dr6g=")</f>
        <v>#REF!</v>
      </c>
      <c r="FN12" t="e">
        <f>AND(#REF!,"AAAAAH2dr6k=")</f>
        <v>#REF!</v>
      </c>
      <c r="FO12" t="e">
        <f>AND(#REF!,"AAAAAH2dr6o=")</f>
        <v>#REF!</v>
      </c>
      <c r="FP12" t="e">
        <f>AND(#REF!,"AAAAAH2dr6s=")</f>
        <v>#REF!</v>
      </c>
      <c r="FQ12" t="e">
        <f>AND(#REF!,"AAAAAH2dr6w=")</f>
        <v>#REF!</v>
      </c>
      <c r="FR12" t="e">
        <f>AND(#REF!,"AAAAAH2dr60=")</f>
        <v>#REF!</v>
      </c>
      <c r="FS12" t="e">
        <f>AND(#REF!,"AAAAAH2dr64=")</f>
        <v>#REF!</v>
      </c>
      <c r="FT12" t="e">
        <f>AND(#REF!,"AAAAAH2dr68=")</f>
        <v>#REF!</v>
      </c>
      <c r="FU12" t="e">
        <f>AND(#REF!,"AAAAAH2dr7A=")</f>
        <v>#REF!</v>
      </c>
      <c r="FV12" t="e">
        <f>IF(#REF!,"AAAAAH2dr7E=",0)</f>
        <v>#REF!</v>
      </c>
      <c r="FW12" t="e">
        <f>AND(#REF!,"AAAAAH2dr7I=")</f>
        <v>#REF!</v>
      </c>
      <c r="FX12" t="e">
        <f>AND(#REF!,"AAAAAH2dr7M=")</f>
        <v>#REF!</v>
      </c>
      <c r="FY12" t="e">
        <f>AND(#REF!,"AAAAAH2dr7Q=")</f>
        <v>#REF!</v>
      </c>
      <c r="FZ12" t="e">
        <f>AND(#REF!,"AAAAAH2dr7U=")</f>
        <v>#REF!</v>
      </c>
      <c r="GA12" t="e">
        <f>AND(#REF!,"AAAAAH2dr7Y=")</f>
        <v>#REF!</v>
      </c>
      <c r="GB12" t="e">
        <f>AND(#REF!,"AAAAAH2dr7c=")</f>
        <v>#REF!</v>
      </c>
      <c r="GC12" t="e">
        <f>AND(#REF!,"AAAAAH2dr7g=")</f>
        <v>#REF!</v>
      </c>
      <c r="GD12" t="e">
        <f>AND(#REF!,"AAAAAH2dr7k=")</f>
        <v>#REF!</v>
      </c>
      <c r="GE12" t="e">
        <f>AND(#REF!,"AAAAAH2dr7o=")</f>
        <v>#REF!</v>
      </c>
      <c r="GF12" t="e">
        <f>AND(#REF!,"AAAAAH2dr7s=")</f>
        <v>#REF!</v>
      </c>
      <c r="GG12" t="e">
        <f>AND(#REF!,"AAAAAH2dr7w=")</f>
        <v>#REF!</v>
      </c>
      <c r="GH12" t="e">
        <f>AND(#REF!,"AAAAAH2dr70=")</f>
        <v>#REF!</v>
      </c>
      <c r="GI12" t="e">
        <f>AND(#REF!,"AAAAAH2dr74=")</f>
        <v>#REF!</v>
      </c>
      <c r="GJ12" t="e">
        <f>AND(#REF!,"AAAAAH2dr78=")</f>
        <v>#REF!</v>
      </c>
      <c r="GK12" t="e">
        <f>AND(#REF!,"AAAAAH2dr8A=")</f>
        <v>#REF!</v>
      </c>
      <c r="GL12" t="e">
        <f>AND(#REF!,"AAAAAH2dr8E=")</f>
        <v>#REF!</v>
      </c>
      <c r="GM12" t="e">
        <f>AND(#REF!,"AAAAAH2dr8I=")</f>
        <v>#REF!</v>
      </c>
      <c r="GN12" t="e">
        <f>AND(#REF!,"AAAAAH2dr8M=")</f>
        <v>#REF!</v>
      </c>
      <c r="GO12" t="e">
        <f>AND(#REF!,"AAAAAH2dr8Q=")</f>
        <v>#REF!</v>
      </c>
      <c r="GP12" t="e">
        <f>AND(#REF!,"AAAAAH2dr8U=")</f>
        <v>#REF!</v>
      </c>
      <c r="GQ12" t="e">
        <f>AND(#REF!,"AAAAAH2dr8Y=")</f>
        <v>#REF!</v>
      </c>
      <c r="GR12" t="e">
        <f>AND(#REF!,"AAAAAH2dr8c=")</f>
        <v>#REF!</v>
      </c>
      <c r="GS12" t="e">
        <f>AND(#REF!,"AAAAAH2dr8g=")</f>
        <v>#REF!</v>
      </c>
      <c r="GT12" t="e">
        <f>AND(#REF!,"AAAAAH2dr8k=")</f>
        <v>#REF!</v>
      </c>
      <c r="GU12" t="e">
        <f>AND(#REF!,"AAAAAH2dr8o=")</f>
        <v>#REF!</v>
      </c>
      <c r="GV12" t="e">
        <f>AND(#REF!,"AAAAAH2dr8s=")</f>
        <v>#REF!</v>
      </c>
      <c r="GW12" t="e">
        <f>AND(#REF!,"AAAAAH2dr8w=")</f>
        <v>#REF!</v>
      </c>
      <c r="GX12" t="e">
        <f>AND(#REF!,"AAAAAH2dr80=")</f>
        <v>#REF!</v>
      </c>
      <c r="GY12" t="e">
        <f>IF(#REF!,"AAAAAH2dr84=",0)</f>
        <v>#REF!</v>
      </c>
      <c r="GZ12" t="e">
        <f>AND(#REF!,"AAAAAH2dr88=")</f>
        <v>#REF!</v>
      </c>
      <c r="HA12" t="e">
        <f>AND(#REF!,"AAAAAH2dr9A=")</f>
        <v>#REF!</v>
      </c>
      <c r="HB12" t="e">
        <f>AND(#REF!,"AAAAAH2dr9E=")</f>
        <v>#REF!</v>
      </c>
      <c r="HC12" t="e">
        <f>AND(#REF!,"AAAAAH2dr9I=")</f>
        <v>#REF!</v>
      </c>
      <c r="HD12" t="e">
        <f>AND(#REF!,"AAAAAH2dr9M=")</f>
        <v>#REF!</v>
      </c>
      <c r="HE12" t="e">
        <f>AND(#REF!,"AAAAAH2dr9Q=")</f>
        <v>#REF!</v>
      </c>
      <c r="HF12" t="e">
        <f>AND(#REF!,"AAAAAH2dr9U=")</f>
        <v>#REF!</v>
      </c>
      <c r="HG12" t="e">
        <f>AND(#REF!,"AAAAAH2dr9Y=")</f>
        <v>#REF!</v>
      </c>
      <c r="HH12" t="e">
        <f>AND(#REF!,"AAAAAH2dr9c=")</f>
        <v>#REF!</v>
      </c>
      <c r="HI12" t="e">
        <f>AND(#REF!,"AAAAAH2dr9g=")</f>
        <v>#REF!</v>
      </c>
      <c r="HJ12" t="e">
        <f>AND(#REF!,"AAAAAH2dr9k=")</f>
        <v>#REF!</v>
      </c>
      <c r="HK12" t="e">
        <f>AND(#REF!,"AAAAAH2dr9o=")</f>
        <v>#REF!</v>
      </c>
      <c r="HL12" t="e">
        <f>AND(#REF!,"AAAAAH2dr9s=")</f>
        <v>#REF!</v>
      </c>
      <c r="HM12" t="e">
        <f>AND(#REF!,"AAAAAH2dr9w=")</f>
        <v>#REF!</v>
      </c>
      <c r="HN12" t="e">
        <f>AND(#REF!,"AAAAAH2dr90=")</f>
        <v>#REF!</v>
      </c>
      <c r="HO12" t="e">
        <f>AND(#REF!,"AAAAAH2dr94=")</f>
        <v>#REF!</v>
      </c>
      <c r="HP12" t="e">
        <f>AND(#REF!,"AAAAAH2dr98=")</f>
        <v>#REF!</v>
      </c>
      <c r="HQ12" t="e">
        <f>AND(#REF!,"AAAAAH2dr+A=")</f>
        <v>#REF!</v>
      </c>
      <c r="HR12" t="e">
        <f>AND(#REF!,"AAAAAH2dr+E=")</f>
        <v>#REF!</v>
      </c>
      <c r="HS12" t="e">
        <f>AND(#REF!,"AAAAAH2dr+I=")</f>
        <v>#REF!</v>
      </c>
      <c r="HT12" t="e">
        <f>AND(#REF!,"AAAAAH2dr+M=")</f>
        <v>#REF!</v>
      </c>
      <c r="HU12" t="e">
        <f>AND(#REF!,"AAAAAH2dr+Q=")</f>
        <v>#REF!</v>
      </c>
      <c r="HV12" t="e">
        <f>AND(#REF!,"AAAAAH2dr+U=")</f>
        <v>#REF!</v>
      </c>
      <c r="HW12" t="e">
        <f>AND(#REF!,"AAAAAH2dr+Y=")</f>
        <v>#REF!</v>
      </c>
      <c r="HX12" t="e">
        <f>AND(#REF!,"AAAAAH2dr+c=")</f>
        <v>#REF!</v>
      </c>
      <c r="HY12" t="e">
        <f>AND(#REF!,"AAAAAH2dr+g=")</f>
        <v>#REF!</v>
      </c>
      <c r="HZ12" t="e">
        <f>AND(#REF!,"AAAAAH2dr+k=")</f>
        <v>#REF!</v>
      </c>
      <c r="IA12" t="e">
        <f>AND(#REF!,"AAAAAH2dr+o=")</f>
        <v>#REF!</v>
      </c>
      <c r="IB12" t="e">
        <f>IF(#REF!,"AAAAAH2dr+s=",0)</f>
        <v>#REF!</v>
      </c>
      <c r="IC12" t="e">
        <f>AND(#REF!,"AAAAAH2dr+w=")</f>
        <v>#REF!</v>
      </c>
      <c r="ID12" t="e">
        <f>AND(#REF!,"AAAAAH2dr+0=")</f>
        <v>#REF!</v>
      </c>
      <c r="IE12" t="e">
        <f>AND(#REF!,"AAAAAH2dr+4=")</f>
        <v>#REF!</v>
      </c>
      <c r="IF12" t="e">
        <f>AND(#REF!,"AAAAAH2dr+8=")</f>
        <v>#REF!</v>
      </c>
      <c r="IG12" t="e">
        <f>AND(#REF!,"AAAAAH2dr/A=")</f>
        <v>#REF!</v>
      </c>
      <c r="IH12" t="e">
        <f>AND(#REF!,"AAAAAH2dr/E=")</f>
        <v>#REF!</v>
      </c>
      <c r="II12" t="e">
        <f>AND(#REF!,"AAAAAH2dr/I=")</f>
        <v>#REF!</v>
      </c>
      <c r="IJ12" t="e">
        <f>AND(#REF!,"AAAAAH2dr/M=")</f>
        <v>#REF!</v>
      </c>
      <c r="IK12" t="e">
        <f>AND(#REF!,"AAAAAH2dr/Q=")</f>
        <v>#REF!</v>
      </c>
      <c r="IL12" t="e">
        <f>AND(#REF!,"AAAAAH2dr/U=")</f>
        <v>#REF!</v>
      </c>
      <c r="IM12" t="e">
        <f>AND(#REF!,"AAAAAH2dr/Y=")</f>
        <v>#REF!</v>
      </c>
      <c r="IN12" t="e">
        <f>AND(#REF!,"AAAAAH2dr/c=")</f>
        <v>#REF!</v>
      </c>
      <c r="IO12" t="e">
        <f>AND(#REF!,"AAAAAH2dr/g=")</f>
        <v>#REF!</v>
      </c>
      <c r="IP12" t="e">
        <f>AND(#REF!,"AAAAAH2dr/k=")</f>
        <v>#REF!</v>
      </c>
      <c r="IQ12" t="e">
        <f>AND(#REF!,"AAAAAH2dr/o=")</f>
        <v>#REF!</v>
      </c>
      <c r="IR12" t="e">
        <f>AND(#REF!,"AAAAAH2dr/s=")</f>
        <v>#REF!</v>
      </c>
      <c r="IS12" t="e">
        <f>AND(#REF!,"AAAAAH2dr/w=")</f>
        <v>#REF!</v>
      </c>
      <c r="IT12" t="e">
        <f>AND(#REF!,"AAAAAH2dr/0=")</f>
        <v>#REF!</v>
      </c>
      <c r="IU12" t="e">
        <f>AND(#REF!,"AAAAAH2dr/4=")</f>
        <v>#REF!</v>
      </c>
      <c r="IV12" t="e">
        <f>AND(#REF!,"AAAAAH2dr/8=")</f>
        <v>#REF!</v>
      </c>
    </row>
    <row r="13" spans="1:256" x14ac:dyDescent="0.2">
      <c r="A13" t="e">
        <f>AND(#REF!,"AAAAAGv/9gA=")</f>
        <v>#REF!</v>
      </c>
      <c r="B13" t="e">
        <f>AND(#REF!,"AAAAAGv/9gE=")</f>
        <v>#REF!</v>
      </c>
      <c r="C13" t="e">
        <f>AND(#REF!,"AAAAAGv/9gI=")</f>
        <v>#REF!</v>
      </c>
      <c r="D13" t="e">
        <f>AND(#REF!,"AAAAAGv/9gM=")</f>
        <v>#REF!</v>
      </c>
      <c r="E13" t="e">
        <f>AND(#REF!,"AAAAAGv/9gQ=")</f>
        <v>#REF!</v>
      </c>
      <c r="F13" t="e">
        <f>AND(#REF!,"AAAAAGv/9gU=")</f>
        <v>#REF!</v>
      </c>
      <c r="G13" t="e">
        <f>AND(#REF!,"AAAAAGv/9gY=")</f>
        <v>#REF!</v>
      </c>
      <c r="H13" t="e">
        <f>AND(#REF!,"AAAAAGv/9gc=")</f>
        <v>#REF!</v>
      </c>
      <c r="I13" t="e">
        <f>IF(#REF!,"AAAAAGv/9gg=",0)</f>
        <v>#REF!</v>
      </c>
      <c r="J13" t="e">
        <f>AND(#REF!,"AAAAAGv/9gk=")</f>
        <v>#REF!</v>
      </c>
      <c r="K13" t="e">
        <f>AND(#REF!,"AAAAAGv/9go=")</f>
        <v>#REF!</v>
      </c>
      <c r="L13" t="e">
        <f>AND(#REF!,"AAAAAGv/9gs=")</f>
        <v>#REF!</v>
      </c>
      <c r="M13" t="e">
        <f>AND(#REF!,"AAAAAGv/9gw=")</f>
        <v>#REF!</v>
      </c>
      <c r="N13" t="e">
        <f>AND(#REF!,"AAAAAGv/9g0=")</f>
        <v>#REF!</v>
      </c>
      <c r="O13" t="e">
        <f>AND(#REF!,"AAAAAGv/9g4=")</f>
        <v>#REF!</v>
      </c>
      <c r="P13" t="e">
        <f>AND(#REF!,"AAAAAGv/9g8=")</f>
        <v>#REF!</v>
      </c>
      <c r="Q13" t="e">
        <f>AND(#REF!,"AAAAAGv/9hA=")</f>
        <v>#REF!</v>
      </c>
      <c r="R13" t="e">
        <f>AND(#REF!,"AAAAAGv/9hE=")</f>
        <v>#REF!</v>
      </c>
      <c r="S13" t="e">
        <f>AND(#REF!,"AAAAAGv/9hI=")</f>
        <v>#REF!</v>
      </c>
      <c r="T13" t="e">
        <f>AND(#REF!,"AAAAAGv/9hM=")</f>
        <v>#REF!</v>
      </c>
      <c r="U13" t="e">
        <f>AND(#REF!,"AAAAAGv/9hQ=")</f>
        <v>#REF!</v>
      </c>
      <c r="V13" t="e">
        <f>AND(#REF!,"AAAAAGv/9hU=")</f>
        <v>#REF!</v>
      </c>
      <c r="W13" t="e">
        <f>AND(#REF!,"AAAAAGv/9hY=")</f>
        <v>#REF!</v>
      </c>
      <c r="X13" t="e">
        <f>AND(#REF!,"AAAAAGv/9hc=")</f>
        <v>#REF!</v>
      </c>
      <c r="Y13" t="e">
        <f>AND(#REF!,"AAAAAGv/9hg=")</f>
        <v>#REF!</v>
      </c>
      <c r="Z13" t="e">
        <f>AND(#REF!,"AAAAAGv/9hk=")</f>
        <v>#REF!</v>
      </c>
      <c r="AA13" t="e">
        <f>AND(#REF!,"AAAAAGv/9ho=")</f>
        <v>#REF!</v>
      </c>
      <c r="AB13" t="e">
        <f>AND(#REF!,"AAAAAGv/9hs=")</f>
        <v>#REF!</v>
      </c>
      <c r="AC13" t="e">
        <f>AND(#REF!,"AAAAAGv/9hw=")</f>
        <v>#REF!</v>
      </c>
      <c r="AD13" t="e">
        <f>AND(#REF!,"AAAAAGv/9h0=")</f>
        <v>#REF!</v>
      </c>
      <c r="AE13" t="e">
        <f>AND(#REF!,"AAAAAGv/9h4=")</f>
        <v>#REF!</v>
      </c>
      <c r="AF13" t="e">
        <f>AND(#REF!,"AAAAAGv/9h8=")</f>
        <v>#REF!</v>
      </c>
      <c r="AG13" t="e">
        <f>AND(#REF!,"AAAAAGv/9iA=")</f>
        <v>#REF!</v>
      </c>
      <c r="AH13" t="e">
        <f>AND(#REF!,"AAAAAGv/9iE=")</f>
        <v>#REF!</v>
      </c>
      <c r="AI13" t="e">
        <f>AND(#REF!,"AAAAAGv/9iI=")</f>
        <v>#REF!</v>
      </c>
      <c r="AJ13" t="e">
        <f>AND(#REF!,"AAAAAGv/9iM=")</f>
        <v>#REF!</v>
      </c>
      <c r="AK13" t="e">
        <f>AND(#REF!,"AAAAAGv/9iQ=")</f>
        <v>#REF!</v>
      </c>
      <c r="AL13" t="e">
        <f>IF(#REF!,"AAAAAGv/9iU=",0)</f>
        <v>#REF!</v>
      </c>
      <c r="AM13" t="e">
        <f>AND(#REF!,"AAAAAGv/9iY=")</f>
        <v>#REF!</v>
      </c>
      <c r="AN13" t="e">
        <f>AND(#REF!,"AAAAAGv/9ic=")</f>
        <v>#REF!</v>
      </c>
      <c r="AO13" t="e">
        <f>AND(#REF!,"AAAAAGv/9ig=")</f>
        <v>#REF!</v>
      </c>
      <c r="AP13" t="e">
        <f>AND(#REF!,"AAAAAGv/9ik=")</f>
        <v>#REF!</v>
      </c>
      <c r="AQ13" t="e">
        <f>AND(#REF!,"AAAAAGv/9io=")</f>
        <v>#REF!</v>
      </c>
      <c r="AR13" t="e">
        <f>AND(#REF!,"AAAAAGv/9is=")</f>
        <v>#REF!</v>
      </c>
      <c r="AS13" t="e">
        <f>AND(#REF!,"AAAAAGv/9iw=")</f>
        <v>#REF!</v>
      </c>
      <c r="AT13" t="e">
        <f>AND(#REF!,"AAAAAGv/9i0=")</f>
        <v>#REF!</v>
      </c>
      <c r="AU13" t="e">
        <f>AND(#REF!,"AAAAAGv/9i4=")</f>
        <v>#REF!</v>
      </c>
      <c r="AV13" t="e">
        <f>AND(#REF!,"AAAAAGv/9i8=")</f>
        <v>#REF!</v>
      </c>
      <c r="AW13" t="e">
        <f>AND(#REF!,"AAAAAGv/9jA=")</f>
        <v>#REF!</v>
      </c>
      <c r="AX13" t="e">
        <f>AND(#REF!,"AAAAAGv/9jE=")</f>
        <v>#REF!</v>
      </c>
      <c r="AY13" t="e">
        <f>AND(#REF!,"AAAAAGv/9jI=")</f>
        <v>#REF!</v>
      </c>
      <c r="AZ13" t="e">
        <f>AND(#REF!,"AAAAAGv/9jM=")</f>
        <v>#REF!</v>
      </c>
      <c r="BA13" t="e">
        <f>AND(#REF!,"AAAAAGv/9jQ=")</f>
        <v>#REF!</v>
      </c>
      <c r="BB13" t="e">
        <f>AND(#REF!,"AAAAAGv/9jU=")</f>
        <v>#REF!</v>
      </c>
      <c r="BC13" t="e">
        <f>AND(#REF!,"AAAAAGv/9jY=")</f>
        <v>#REF!</v>
      </c>
      <c r="BD13" t="e">
        <f>AND(#REF!,"AAAAAGv/9jc=")</f>
        <v>#REF!</v>
      </c>
      <c r="BE13" t="e">
        <f>AND(#REF!,"AAAAAGv/9jg=")</f>
        <v>#REF!</v>
      </c>
      <c r="BF13" t="e">
        <f>AND(#REF!,"AAAAAGv/9jk=")</f>
        <v>#REF!</v>
      </c>
      <c r="BG13" t="e">
        <f>AND(#REF!,"AAAAAGv/9jo=")</f>
        <v>#REF!</v>
      </c>
      <c r="BH13" t="e">
        <f>AND(#REF!,"AAAAAGv/9js=")</f>
        <v>#REF!</v>
      </c>
      <c r="BI13" t="e">
        <f>AND(#REF!,"AAAAAGv/9jw=")</f>
        <v>#REF!</v>
      </c>
      <c r="BJ13" t="e">
        <f>AND(#REF!,"AAAAAGv/9j0=")</f>
        <v>#REF!</v>
      </c>
      <c r="BK13" t="e">
        <f>AND(#REF!,"AAAAAGv/9j4=")</f>
        <v>#REF!</v>
      </c>
      <c r="BL13" t="e">
        <f>AND(#REF!,"AAAAAGv/9j8=")</f>
        <v>#REF!</v>
      </c>
      <c r="BM13" t="e">
        <f>AND(#REF!,"AAAAAGv/9kA=")</f>
        <v>#REF!</v>
      </c>
      <c r="BN13" t="e">
        <f>AND(#REF!,"AAAAAGv/9kE=")</f>
        <v>#REF!</v>
      </c>
      <c r="BO13" t="e">
        <f>IF(#REF!,"AAAAAGv/9kI=",0)</f>
        <v>#REF!</v>
      </c>
      <c r="BP13" t="e">
        <f>AND(#REF!,"AAAAAGv/9kM=")</f>
        <v>#REF!</v>
      </c>
      <c r="BQ13" t="e">
        <f>AND(#REF!,"AAAAAGv/9kQ=")</f>
        <v>#REF!</v>
      </c>
      <c r="BR13" t="e">
        <f>AND(#REF!,"AAAAAGv/9kU=")</f>
        <v>#REF!</v>
      </c>
      <c r="BS13" t="e">
        <f>AND(#REF!,"AAAAAGv/9kY=")</f>
        <v>#REF!</v>
      </c>
      <c r="BT13" t="e">
        <f>AND(#REF!,"AAAAAGv/9kc=")</f>
        <v>#REF!</v>
      </c>
      <c r="BU13" t="e">
        <f>AND(#REF!,"AAAAAGv/9kg=")</f>
        <v>#REF!</v>
      </c>
      <c r="BV13" t="e">
        <f>AND(#REF!,"AAAAAGv/9kk=")</f>
        <v>#REF!</v>
      </c>
      <c r="BW13" t="e">
        <f>AND(#REF!,"AAAAAGv/9ko=")</f>
        <v>#REF!</v>
      </c>
      <c r="BX13" t="e">
        <f>AND(#REF!,"AAAAAGv/9ks=")</f>
        <v>#REF!</v>
      </c>
      <c r="BY13" t="e">
        <f>AND(#REF!,"AAAAAGv/9kw=")</f>
        <v>#REF!</v>
      </c>
      <c r="BZ13" t="e">
        <f>AND(#REF!,"AAAAAGv/9k0=")</f>
        <v>#REF!</v>
      </c>
      <c r="CA13" t="e">
        <f>AND(#REF!,"AAAAAGv/9k4=")</f>
        <v>#REF!</v>
      </c>
      <c r="CB13" t="e">
        <f>AND(#REF!,"AAAAAGv/9k8=")</f>
        <v>#REF!</v>
      </c>
      <c r="CC13" t="e">
        <f>AND(#REF!,"AAAAAGv/9lA=")</f>
        <v>#REF!</v>
      </c>
      <c r="CD13" t="e">
        <f>AND(#REF!,"AAAAAGv/9lE=")</f>
        <v>#REF!</v>
      </c>
      <c r="CE13" t="e">
        <f>AND(#REF!,"AAAAAGv/9lI=")</f>
        <v>#REF!</v>
      </c>
      <c r="CF13" t="e">
        <f>AND(#REF!,"AAAAAGv/9lM=")</f>
        <v>#REF!</v>
      </c>
      <c r="CG13" t="e">
        <f>AND(#REF!,"AAAAAGv/9lQ=")</f>
        <v>#REF!</v>
      </c>
      <c r="CH13" t="e">
        <f>AND(#REF!,"AAAAAGv/9lU=")</f>
        <v>#REF!</v>
      </c>
      <c r="CI13" t="e">
        <f>AND(#REF!,"AAAAAGv/9lY=")</f>
        <v>#REF!</v>
      </c>
      <c r="CJ13" t="e">
        <f>AND(#REF!,"AAAAAGv/9lc=")</f>
        <v>#REF!</v>
      </c>
      <c r="CK13" t="e">
        <f>AND(#REF!,"AAAAAGv/9lg=")</f>
        <v>#REF!</v>
      </c>
      <c r="CL13" t="e">
        <f>AND(#REF!,"AAAAAGv/9lk=")</f>
        <v>#REF!</v>
      </c>
      <c r="CM13" t="e">
        <f>AND(#REF!,"AAAAAGv/9lo=")</f>
        <v>#REF!</v>
      </c>
      <c r="CN13" t="e">
        <f>AND(#REF!,"AAAAAGv/9ls=")</f>
        <v>#REF!</v>
      </c>
      <c r="CO13" t="e">
        <f>AND(#REF!,"AAAAAGv/9lw=")</f>
        <v>#REF!</v>
      </c>
      <c r="CP13" t="e">
        <f>AND(#REF!,"AAAAAGv/9l0=")</f>
        <v>#REF!</v>
      </c>
      <c r="CQ13" t="e">
        <f>AND(#REF!,"AAAAAGv/9l4=")</f>
        <v>#REF!</v>
      </c>
      <c r="CR13" t="e">
        <f>IF(#REF!,"AAAAAGv/9l8=",0)</f>
        <v>#REF!</v>
      </c>
      <c r="CS13" t="e">
        <f>AND(#REF!,"AAAAAGv/9mA=")</f>
        <v>#REF!</v>
      </c>
      <c r="CT13" t="e">
        <f>AND(#REF!,"AAAAAGv/9mE=")</f>
        <v>#REF!</v>
      </c>
      <c r="CU13" t="e">
        <f>AND(#REF!,"AAAAAGv/9mI=")</f>
        <v>#REF!</v>
      </c>
      <c r="CV13" t="e">
        <f>AND(#REF!,"AAAAAGv/9mM=")</f>
        <v>#REF!</v>
      </c>
      <c r="CW13" t="e">
        <f>AND(#REF!,"AAAAAGv/9mQ=")</f>
        <v>#REF!</v>
      </c>
      <c r="CX13" t="e">
        <f>AND(#REF!,"AAAAAGv/9mU=")</f>
        <v>#REF!</v>
      </c>
      <c r="CY13" t="e">
        <f>AND(#REF!,"AAAAAGv/9mY=")</f>
        <v>#REF!</v>
      </c>
      <c r="CZ13" t="e">
        <f>AND(#REF!,"AAAAAGv/9mc=")</f>
        <v>#REF!</v>
      </c>
      <c r="DA13" t="e">
        <f>AND(#REF!,"AAAAAGv/9mg=")</f>
        <v>#REF!</v>
      </c>
      <c r="DB13" t="e">
        <f>AND(#REF!,"AAAAAGv/9mk=")</f>
        <v>#REF!</v>
      </c>
      <c r="DC13" t="e">
        <f>AND(#REF!,"AAAAAGv/9mo=")</f>
        <v>#REF!</v>
      </c>
      <c r="DD13" t="e">
        <f>AND(#REF!,"AAAAAGv/9ms=")</f>
        <v>#REF!</v>
      </c>
      <c r="DE13" t="e">
        <f>AND(#REF!,"AAAAAGv/9mw=")</f>
        <v>#REF!</v>
      </c>
      <c r="DF13" t="e">
        <f>AND(#REF!,"AAAAAGv/9m0=")</f>
        <v>#REF!</v>
      </c>
      <c r="DG13" t="e">
        <f>AND(#REF!,"AAAAAGv/9m4=")</f>
        <v>#REF!</v>
      </c>
      <c r="DH13" t="e">
        <f>AND(#REF!,"AAAAAGv/9m8=")</f>
        <v>#REF!</v>
      </c>
      <c r="DI13" t="e">
        <f>AND(#REF!,"AAAAAGv/9nA=")</f>
        <v>#REF!</v>
      </c>
      <c r="DJ13" t="e">
        <f>AND(#REF!,"AAAAAGv/9nE=")</f>
        <v>#REF!</v>
      </c>
      <c r="DK13" t="e">
        <f>AND(#REF!,"AAAAAGv/9nI=")</f>
        <v>#REF!</v>
      </c>
      <c r="DL13" t="e">
        <f>AND(#REF!,"AAAAAGv/9nM=")</f>
        <v>#REF!</v>
      </c>
      <c r="DM13" t="e">
        <f>AND(#REF!,"AAAAAGv/9nQ=")</f>
        <v>#REF!</v>
      </c>
      <c r="DN13" t="e">
        <f>AND(#REF!,"AAAAAGv/9nU=")</f>
        <v>#REF!</v>
      </c>
      <c r="DO13" t="e">
        <f>AND(#REF!,"AAAAAGv/9nY=")</f>
        <v>#REF!</v>
      </c>
      <c r="DP13" t="e">
        <f>AND(#REF!,"AAAAAGv/9nc=")</f>
        <v>#REF!</v>
      </c>
      <c r="DQ13" t="e">
        <f>AND(#REF!,"AAAAAGv/9ng=")</f>
        <v>#REF!</v>
      </c>
      <c r="DR13" t="e">
        <f>AND(#REF!,"AAAAAGv/9nk=")</f>
        <v>#REF!</v>
      </c>
      <c r="DS13" t="e">
        <f>AND(#REF!,"AAAAAGv/9no=")</f>
        <v>#REF!</v>
      </c>
      <c r="DT13" t="e">
        <f>AND(#REF!,"AAAAAGv/9ns=")</f>
        <v>#REF!</v>
      </c>
      <c r="DU13" t="e">
        <f>IF(#REF!,"AAAAAGv/9nw=",0)</f>
        <v>#REF!</v>
      </c>
      <c r="DV13" t="e">
        <f>AND(#REF!,"AAAAAGv/9n0=")</f>
        <v>#REF!</v>
      </c>
      <c r="DW13" t="e">
        <f>AND(#REF!,"AAAAAGv/9n4=")</f>
        <v>#REF!</v>
      </c>
      <c r="DX13" t="e">
        <f>AND(#REF!,"AAAAAGv/9n8=")</f>
        <v>#REF!</v>
      </c>
      <c r="DY13" t="e">
        <f>AND(#REF!,"AAAAAGv/9oA=")</f>
        <v>#REF!</v>
      </c>
      <c r="DZ13" t="e">
        <f>AND(#REF!,"AAAAAGv/9oE=")</f>
        <v>#REF!</v>
      </c>
      <c r="EA13" t="e">
        <f>AND(#REF!,"AAAAAGv/9oI=")</f>
        <v>#REF!</v>
      </c>
      <c r="EB13" t="e">
        <f>AND(#REF!,"AAAAAGv/9oM=")</f>
        <v>#REF!</v>
      </c>
      <c r="EC13" t="e">
        <f>AND(#REF!,"AAAAAGv/9oQ=")</f>
        <v>#REF!</v>
      </c>
      <c r="ED13" t="e">
        <f>AND(#REF!,"AAAAAGv/9oU=")</f>
        <v>#REF!</v>
      </c>
      <c r="EE13" t="e">
        <f>AND(#REF!,"AAAAAGv/9oY=")</f>
        <v>#REF!</v>
      </c>
      <c r="EF13" t="e">
        <f>AND(#REF!,"AAAAAGv/9oc=")</f>
        <v>#REF!</v>
      </c>
      <c r="EG13" t="e">
        <f>AND(#REF!,"AAAAAGv/9og=")</f>
        <v>#REF!</v>
      </c>
      <c r="EH13" t="e">
        <f>AND(#REF!,"AAAAAGv/9ok=")</f>
        <v>#REF!</v>
      </c>
      <c r="EI13" t="e">
        <f>AND(#REF!,"AAAAAGv/9oo=")</f>
        <v>#REF!</v>
      </c>
      <c r="EJ13" t="e">
        <f>AND(#REF!,"AAAAAGv/9os=")</f>
        <v>#REF!</v>
      </c>
      <c r="EK13" t="e">
        <f>AND(#REF!,"AAAAAGv/9ow=")</f>
        <v>#REF!</v>
      </c>
      <c r="EL13" t="e">
        <f>AND(#REF!,"AAAAAGv/9o0=")</f>
        <v>#REF!</v>
      </c>
      <c r="EM13" t="e">
        <f>AND(#REF!,"AAAAAGv/9o4=")</f>
        <v>#REF!</v>
      </c>
      <c r="EN13" t="e">
        <f>AND(#REF!,"AAAAAGv/9o8=")</f>
        <v>#REF!</v>
      </c>
      <c r="EO13" t="e">
        <f>AND(#REF!,"AAAAAGv/9pA=")</f>
        <v>#REF!</v>
      </c>
      <c r="EP13" t="e">
        <f>AND(#REF!,"AAAAAGv/9pE=")</f>
        <v>#REF!</v>
      </c>
      <c r="EQ13" t="e">
        <f>AND(#REF!,"AAAAAGv/9pI=")</f>
        <v>#REF!</v>
      </c>
      <c r="ER13" t="e">
        <f>AND(#REF!,"AAAAAGv/9pM=")</f>
        <v>#REF!</v>
      </c>
      <c r="ES13" t="e">
        <f>AND(#REF!,"AAAAAGv/9pQ=")</f>
        <v>#REF!</v>
      </c>
      <c r="ET13" t="e">
        <f>AND(#REF!,"AAAAAGv/9pU=")</f>
        <v>#REF!</v>
      </c>
      <c r="EU13" t="e">
        <f>AND(#REF!,"AAAAAGv/9pY=")</f>
        <v>#REF!</v>
      </c>
      <c r="EV13" t="e">
        <f>AND(#REF!,"AAAAAGv/9pc=")</f>
        <v>#REF!</v>
      </c>
      <c r="EW13" t="e">
        <f>AND(#REF!,"AAAAAGv/9pg=")</f>
        <v>#REF!</v>
      </c>
      <c r="EX13" t="e">
        <f>IF(#REF!,"AAAAAGv/9pk=",0)</f>
        <v>#REF!</v>
      </c>
      <c r="EY13" t="e">
        <f>AND(#REF!,"AAAAAGv/9po=")</f>
        <v>#REF!</v>
      </c>
      <c r="EZ13" t="e">
        <f>AND(#REF!,"AAAAAGv/9ps=")</f>
        <v>#REF!</v>
      </c>
      <c r="FA13" t="e">
        <f>AND(#REF!,"AAAAAGv/9pw=")</f>
        <v>#REF!</v>
      </c>
      <c r="FB13" t="e">
        <f>AND(#REF!,"AAAAAGv/9p0=")</f>
        <v>#REF!</v>
      </c>
      <c r="FC13" t="e">
        <f>AND(#REF!,"AAAAAGv/9p4=")</f>
        <v>#REF!</v>
      </c>
      <c r="FD13" t="e">
        <f>AND(#REF!,"AAAAAGv/9p8=")</f>
        <v>#REF!</v>
      </c>
      <c r="FE13" t="e">
        <f>AND(#REF!,"AAAAAGv/9qA=")</f>
        <v>#REF!</v>
      </c>
      <c r="FF13" t="e">
        <f>AND(#REF!,"AAAAAGv/9qE=")</f>
        <v>#REF!</v>
      </c>
      <c r="FG13" t="e">
        <f>AND(#REF!,"AAAAAGv/9qI=")</f>
        <v>#REF!</v>
      </c>
      <c r="FH13" t="e">
        <f>AND(#REF!,"AAAAAGv/9qM=")</f>
        <v>#REF!</v>
      </c>
      <c r="FI13" t="e">
        <f>AND(#REF!,"AAAAAGv/9qQ=")</f>
        <v>#REF!</v>
      </c>
      <c r="FJ13" t="e">
        <f>AND(#REF!,"AAAAAGv/9qU=")</f>
        <v>#REF!</v>
      </c>
      <c r="FK13" t="e">
        <f>AND(#REF!,"AAAAAGv/9qY=")</f>
        <v>#REF!</v>
      </c>
      <c r="FL13" t="e">
        <f>AND(#REF!,"AAAAAGv/9qc=")</f>
        <v>#REF!</v>
      </c>
      <c r="FM13" t="e">
        <f>AND(#REF!,"AAAAAGv/9qg=")</f>
        <v>#REF!</v>
      </c>
      <c r="FN13" t="e">
        <f>AND(#REF!,"AAAAAGv/9qk=")</f>
        <v>#REF!</v>
      </c>
      <c r="FO13" t="e">
        <f>AND(#REF!,"AAAAAGv/9qo=")</f>
        <v>#REF!</v>
      </c>
      <c r="FP13" t="e">
        <f>AND(#REF!,"AAAAAGv/9qs=")</f>
        <v>#REF!</v>
      </c>
      <c r="FQ13" t="e">
        <f>AND(#REF!,"AAAAAGv/9qw=")</f>
        <v>#REF!</v>
      </c>
      <c r="FR13" t="e">
        <f>AND(#REF!,"AAAAAGv/9q0=")</f>
        <v>#REF!</v>
      </c>
      <c r="FS13" t="e">
        <f>AND(#REF!,"AAAAAGv/9q4=")</f>
        <v>#REF!</v>
      </c>
      <c r="FT13" t="e">
        <f>AND(#REF!,"AAAAAGv/9q8=")</f>
        <v>#REF!</v>
      </c>
      <c r="FU13" t="e">
        <f>AND(#REF!,"AAAAAGv/9rA=")</f>
        <v>#REF!</v>
      </c>
      <c r="FV13" t="e">
        <f>AND(#REF!,"AAAAAGv/9rE=")</f>
        <v>#REF!</v>
      </c>
      <c r="FW13" t="e">
        <f>AND(#REF!,"AAAAAGv/9rI=")</f>
        <v>#REF!</v>
      </c>
      <c r="FX13" t="e">
        <f>AND(#REF!,"AAAAAGv/9rM=")</f>
        <v>#REF!</v>
      </c>
      <c r="FY13" t="e">
        <f>AND(#REF!,"AAAAAGv/9rQ=")</f>
        <v>#REF!</v>
      </c>
      <c r="FZ13" t="e">
        <f>AND(#REF!,"AAAAAGv/9rU=")</f>
        <v>#REF!</v>
      </c>
      <c r="GA13" t="e">
        <f>IF(#REF!,"AAAAAGv/9rY=",0)</f>
        <v>#REF!</v>
      </c>
      <c r="GB13" t="e">
        <f>AND(#REF!,"AAAAAGv/9rc=")</f>
        <v>#REF!</v>
      </c>
      <c r="GC13" t="e">
        <f>AND(#REF!,"AAAAAGv/9rg=")</f>
        <v>#REF!</v>
      </c>
      <c r="GD13" t="e">
        <f>AND(#REF!,"AAAAAGv/9rk=")</f>
        <v>#REF!</v>
      </c>
      <c r="GE13" t="e">
        <f>AND(#REF!,"AAAAAGv/9ro=")</f>
        <v>#REF!</v>
      </c>
      <c r="GF13" t="e">
        <f>AND(#REF!,"AAAAAGv/9rs=")</f>
        <v>#REF!</v>
      </c>
      <c r="GG13" t="e">
        <f>AND(#REF!,"AAAAAGv/9rw=")</f>
        <v>#REF!</v>
      </c>
      <c r="GH13" t="e">
        <f>AND(#REF!,"AAAAAGv/9r0=")</f>
        <v>#REF!</v>
      </c>
      <c r="GI13" t="e">
        <f>AND(#REF!,"AAAAAGv/9r4=")</f>
        <v>#REF!</v>
      </c>
      <c r="GJ13" t="e">
        <f>AND(#REF!,"AAAAAGv/9r8=")</f>
        <v>#REF!</v>
      </c>
      <c r="GK13" t="e">
        <f>AND(#REF!,"AAAAAGv/9sA=")</f>
        <v>#REF!</v>
      </c>
      <c r="GL13" t="e">
        <f>AND(#REF!,"AAAAAGv/9sE=")</f>
        <v>#REF!</v>
      </c>
      <c r="GM13" t="e">
        <f>AND(#REF!,"AAAAAGv/9sI=")</f>
        <v>#REF!</v>
      </c>
      <c r="GN13" t="e">
        <f>AND(#REF!,"AAAAAGv/9sM=")</f>
        <v>#REF!</v>
      </c>
      <c r="GO13" t="e">
        <f>AND(#REF!,"AAAAAGv/9sQ=")</f>
        <v>#REF!</v>
      </c>
      <c r="GP13" t="e">
        <f>AND(#REF!,"AAAAAGv/9sU=")</f>
        <v>#REF!</v>
      </c>
      <c r="GQ13" t="e">
        <f>AND(#REF!,"AAAAAGv/9sY=")</f>
        <v>#REF!</v>
      </c>
      <c r="GR13" t="e">
        <f>AND(#REF!,"AAAAAGv/9sc=")</f>
        <v>#REF!</v>
      </c>
      <c r="GS13" t="e">
        <f>AND(#REF!,"AAAAAGv/9sg=")</f>
        <v>#REF!</v>
      </c>
      <c r="GT13" t="e">
        <f>AND(#REF!,"AAAAAGv/9sk=")</f>
        <v>#REF!</v>
      </c>
      <c r="GU13" t="e">
        <f>AND(#REF!,"AAAAAGv/9so=")</f>
        <v>#REF!</v>
      </c>
      <c r="GV13" t="e">
        <f>AND(#REF!,"AAAAAGv/9ss=")</f>
        <v>#REF!</v>
      </c>
      <c r="GW13" t="e">
        <f>AND(#REF!,"AAAAAGv/9sw=")</f>
        <v>#REF!</v>
      </c>
      <c r="GX13" t="e">
        <f>AND(#REF!,"AAAAAGv/9s0=")</f>
        <v>#REF!</v>
      </c>
      <c r="GY13" t="e">
        <f>AND(#REF!,"AAAAAGv/9s4=")</f>
        <v>#REF!</v>
      </c>
      <c r="GZ13" t="e">
        <f>AND(#REF!,"AAAAAGv/9s8=")</f>
        <v>#REF!</v>
      </c>
      <c r="HA13" t="e">
        <f>AND(#REF!,"AAAAAGv/9tA=")</f>
        <v>#REF!</v>
      </c>
      <c r="HB13" t="e">
        <f>AND(#REF!,"AAAAAGv/9tE=")</f>
        <v>#REF!</v>
      </c>
      <c r="HC13" t="e">
        <f>AND(#REF!,"AAAAAGv/9tI=")</f>
        <v>#REF!</v>
      </c>
      <c r="HD13" t="e">
        <f>IF(#REF!,"AAAAAGv/9tM=",0)</f>
        <v>#REF!</v>
      </c>
      <c r="HE13" t="e">
        <f>AND(#REF!,"AAAAAGv/9tQ=")</f>
        <v>#REF!</v>
      </c>
      <c r="HF13" t="e">
        <f>AND(#REF!,"AAAAAGv/9tU=")</f>
        <v>#REF!</v>
      </c>
      <c r="HG13" t="e">
        <f>AND(#REF!,"AAAAAGv/9tY=")</f>
        <v>#REF!</v>
      </c>
      <c r="HH13" t="e">
        <f>AND(#REF!,"AAAAAGv/9tc=")</f>
        <v>#REF!</v>
      </c>
      <c r="HI13" t="e">
        <f>AND(#REF!,"AAAAAGv/9tg=")</f>
        <v>#REF!</v>
      </c>
      <c r="HJ13" t="e">
        <f>AND(#REF!,"AAAAAGv/9tk=")</f>
        <v>#REF!</v>
      </c>
      <c r="HK13" t="e">
        <f>AND(#REF!,"AAAAAGv/9to=")</f>
        <v>#REF!</v>
      </c>
      <c r="HL13" t="e">
        <f>AND(#REF!,"AAAAAGv/9ts=")</f>
        <v>#REF!</v>
      </c>
      <c r="HM13" t="e">
        <f>AND(#REF!,"AAAAAGv/9tw=")</f>
        <v>#REF!</v>
      </c>
      <c r="HN13" t="e">
        <f>AND(#REF!,"AAAAAGv/9t0=")</f>
        <v>#REF!</v>
      </c>
      <c r="HO13" t="e">
        <f>AND(#REF!,"AAAAAGv/9t4=")</f>
        <v>#REF!</v>
      </c>
      <c r="HP13" t="e">
        <f>AND(#REF!,"AAAAAGv/9t8=")</f>
        <v>#REF!</v>
      </c>
      <c r="HQ13" t="e">
        <f>AND(#REF!,"AAAAAGv/9uA=")</f>
        <v>#REF!</v>
      </c>
      <c r="HR13" t="e">
        <f>AND(#REF!,"AAAAAGv/9uE=")</f>
        <v>#REF!</v>
      </c>
      <c r="HS13" t="e">
        <f>AND(#REF!,"AAAAAGv/9uI=")</f>
        <v>#REF!</v>
      </c>
      <c r="HT13" t="e">
        <f>AND(#REF!,"AAAAAGv/9uM=")</f>
        <v>#REF!</v>
      </c>
      <c r="HU13" t="e">
        <f>AND(#REF!,"AAAAAGv/9uQ=")</f>
        <v>#REF!</v>
      </c>
      <c r="HV13" t="e">
        <f>AND(#REF!,"AAAAAGv/9uU=")</f>
        <v>#REF!</v>
      </c>
      <c r="HW13" t="e">
        <f>AND(#REF!,"AAAAAGv/9uY=")</f>
        <v>#REF!</v>
      </c>
      <c r="HX13" t="e">
        <f>AND(#REF!,"AAAAAGv/9uc=")</f>
        <v>#REF!</v>
      </c>
      <c r="HY13" t="e">
        <f>AND(#REF!,"AAAAAGv/9ug=")</f>
        <v>#REF!</v>
      </c>
      <c r="HZ13" t="e">
        <f>AND(#REF!,"AAAAAGv/9uk=")</f>
        <v>#REF!</v>
      </c>
      <c r="IA13" t="e">
        <f>AND(#REF!,"AAAAAGv/9uo=")</f>
        <v>#REF!</v>
      </c>
      <c r="IB13" t="e">
        <f>AND(#REF!,"AAAAAGv/9us=")</f>
        <v>#REF!</v>
      </c>
      <c r="IC13" t="e">
        <f>AND(#REF!,"AAAAAGv/9uw=")</f>
        <v>#REF!</v>
      </c>
      <c r="ID13" t="e">
        <f>AND(#REF!,"AAAAAGv/9u0=")</f>
        <v>#REF!</v>
      </c>
      <c r="IE13" t="e">
        <f>AND(#REF!,"AAAAAGv/9u4=")</f>
        <v>#REF!</v>
      </c>
      <c r="IF13" t="e">
        <f>AND(#REF!,"AAAAAGv/9u8=")</f>
        <v>#REF!</v>
      </c>
      <c r="IG13" t="e">
        <f>IF(#REF!,"AAAAAGv/9vA=",0)</f>
        <v>#REF!</v>
      </c>
      <c r="IH13" t="e">
        <f>AND(#REF!,"AAAAAGv/9vE=")</f>
        <v>#REF!</v>
      </c>
      <c r="II13" t="e">
        <f>AND(#REF!,"AAAAAGv/9vI=")</f>
        <v>#REF!</v>
      </c>
      <c r="IJ13" t="e">
        <f>AND(#REF!,"AAAAAGv/9vM=")</f>
        <v>#REF!</v>
      </c>
      <c r="IK13" t="e">
        <f>AND(#REF!,"AAAAAGv/9vQ=")</f>
        <v>#REF!</v>
      </c>
      <c r="IL13" t="e">
        <f>AND(#REF!,"AAAAAGv/9vU=")</f>
        <v>#REF!</v>
      </c>
      <c r="IM13" t="e">
        <f>AND(#REF!,"AAAAAGv/9vY=")</f>
        <v>#REF!</v>
      </c>
      <c r="IN13" t="e">
        <f>AND(#REF!,"AAAAAGv/9vc=")</f>
        <v>#REF!</v>
      </c>
      <c r="IO13" t="e">
        <f>AND(#REF!,"AAAAAGv/9vg=")</f>
        <v>#REF!</v>
      </c>
      <c r="IP13" t="e">
        <f>AND(#REF!,"AAAAAGv/9vk=")</f>
        <v>#REF!</v>
      </c>
      <c r="IQ13" t="e">
        <f>AND(#REF!,"AAAAAGv/9vo=")</f>
        <v>#REF!</v>
      </c>
      <c r="IR13" t="e">
        <f>AND(#REF!,"AAAAAGv/9vs=")</f>
        <v>#REF!</v>
      </c>
      <c r="IS13" t="e">
        <f>AND(#REF!,"AAAAAGv/9vw=")</f>
        <v>#REF!</v>
      </c>
      <c r="IT13" t="e">
        <f>AND(#REF!,"AAAAAGv/9v0=")</f>
        <v>#REF!</v>
      </c>
      <c r="IU13" t="e">
        <f>AND(#REF!,"AAAAAGv/9v4=")</f>
        <v>#REF!</v>
      </c>
      <c r="IV13" t="e">
        <f>AND(#REF!,"AAAAAGv/9v8=")</f>
        <v>#REF!</v>
      </c>
    </row>
    <row r="14" spans="1:256" x14ac:dyDescent="0.2">
      <c r="A14" t="e">
        <f>AND(#REF!,"AAAAAH/dYgA=")</f>
        <v>#REF!</v>
      </c>
      <c r="B14" t="e">
        <f>AND(#REF!,"AAAAAH/dYgE=")</f>
        <v>#REF!</v>
      </c>
      <c r="C14" t="e">
        <f>AND(#REF!,"AAAAAH/dYgI=")</f>
        <v>#REF!</v>
      </c>
      <c r="D14" t="e">
        <f>AND(#REF!,"AAAAAH/dYgM=")</f>
        <v>#REF!</v>
      </c>
      <c r="E14" t="e">
        <f>AND(#REF!,"AAAAAH/dYgQ=")</f>
        <v>#REF!</v>
      </c>
      <c r="F14" t="e">
        <f>AND(#REF!,"AAAAAH/dYgU=")</f>
        <v>#REF!</v>
      </c>
      <c r="G14" t="e">
        <f>AND(#REF!,"AAAAAH/dYgY=")</f>
        <v>#REF!</v>
      </c>
      <c r="H14" t="e">
        <f>AND(#REF!,"AAAAAH/dYgc=")</f>
        <v>#REF!</v>
      </c>
      <c r="I14" t="e">
        <f>AND(#REF!,"AAAAAH/dYgg=")</f>
        <v>#REF!</v>
      </c>
      <c r="J14" t="e">
        <f>AND(#REF!,"AAAAAH/dYgk=")</f>
        <v>#REF!</v>
      </c>
      <c r="K14" t="e">
        <f>AND(#REF!,"AAAAAH/dYgo=")</f>
        <v>#REF!</v>
      </c>
      <c r="L14" t="e">
        <f>AND(#REF!,"AAAAAH/dYgs=")</f>
        <v>#REF!</v>
      </c>
      <c r="M14" t="e">
        <f>AND(#REF!,"AAAAAH/dYgw=")</f>
        <v>#REF!</v>
      </c>
      <c r="N14" t="e">
        <f>IF(#REF!,"AAAAAH/dYg0=",0)</f>
        <v>#REF!</v>
      </c>
      <c r="O14" t="e">
        <f>AND(#REF!,"AAAAAH/dYg4=")</f>
        <v>#REF!</v>
      </c>
      <c r="P14" t="e">
        <f>AND(#REF!,"AAAAAH/dYg8=")</f>
        <v>#REF!</v>
      </c>
      <c r="Q14" t="e">
        <f>AND(#REF!,"AAAAAH/dYhA=")</f>
        <v>#REF!</v>
      </c>
      <c r="R14" t="e">
        <f>AND(#REF!,"AAAAAH/dYhE=")</f>
        <v>#REF!</v>
      </c>
      <c r="S14" t="e">
        <f>AND(#REF!,"AAAAAH/dYhI=")</f>
        <v>#REF!</v>
      </c>
      <c r="T14" t="e">
        <f>AND(#REF!,"AAAAAH/dYhM=")</f>
        <v>#REF!</v>
      </c>
      <c r="U14" t="e">
        <f>AND(#REF!,"AAAAAH/dYhQ=")</f>
        <v>#REF!</v>
      </c>
      <c r="V14" t="e">
        <f>AND(#REF!,"AAAAAH/dYhU=")</f>
        <v>#REF!</v>
      </c>
      <c r="W14" t="e">
        <f>AND(#REF!,"AAAAAH/dYhY=")</f>
        <v>#REF!</v>
      </c>
      <c r="X14" t="e">
        <f>AND(#REF!,"AAAAAH/dYhc=")</f>
        <v>#REF!</v>
      </c>
      <c r="Y14" t="e">
        <f>AND(#REF!,"AAAAAH/dYhg=")</f>
        <v>#REF!</v>
      </c>
      <c r="Z14" t="e">
        <f>AND(#REF!,"AAAAAH/dYhk=")</f>
        <v>#REF!</v>
      </c>
      <c r="AA14" t="e">
        <f>AND(#REF!,"AAAAAH/dYho=")</f>
        <v>#REF!</v>
      </c>
      <c r="AB14" t="e">
        <f>AND(#REF!,"AAAAAH/dYhs=")</f>
        <v>#REF!</v>
      </c>
      <c r="AC14" t="e">
        <f>AND(#REF!,"AAAAAH/dYhw=")</f>
        <v>#REF!</v>
      </c>
      <c r="AD14" t="e">
        <f>AND(#REF!,"AAAAAH/dYh0=")</f>
        <v>#REF!</v>
      </c>
      <c r="AE14" t="e">
        <f>AND(#REF!,"AAAAAH/dYh4=")</f>
        <v>#REF!</v>
      </c>
      <c r="AF14" t="e">
        <f>AND(#REF!,"AAAAAH/dYh8=")</f>
        <v>#REF!</v>
      </c>
      <c r="AG14" t="e">
        <f>AND(#REF!,"AAAAAH/dYiA=")</f>
        <v>#REF!</v>
      </c>
      <c r="AH14" t="e">
        <f>AND(#REF!,"AAAAAH/dYiE=")</f>
        <v>#REF!</v>
      </c>
      <c r="AI14" t="e">
        <f>AND(#REF!,"AAAAAH/dYiI=")</f>
        <v>#REF!</v>
      </c>
      <c r="AJ14" t="e">
        <f>AND(#REF!,"AAAAAH/dYiM=")</f>
        <v>#REF!</v>
      </c>
      <c r="AK14" t="e">
        <f>AND(#REF!,"AAAAAH/dYiQ=")</f>
        <v>#REF!</v>
      </c>
      <c r="AL14" t="e">
        <f>AND(#REF!,"AAAAAH/dYiU=")</f>
        <v>#REF!</v>
      </c>
      <c r="AM14" t="e">
        <f>AND(#REF!,"AAAAAH/dYiY=")</f>
        <v>#REF!</v>
      </c>
      <c r="AN14" t="e">
        <f>AND(#REF!,"AAAAAH/dYic=")</f>
        <v>#REF!</v>
      </c>
      <c r="AO14" t="e">
        <f>AND(#REF!,"AAAAAH/dYig=")</f>
        <v>#REF!</v>
      </c>
      <c r="AP14" t="e">
        <f>AND(#REF!,"AAAAAH/dYik=")</f>
        <v>#REF!</v>
      </c>
      <c r="AQ14" t="e">
        <f>IF(#REF!,"AAAAAH/dYio=",0)</f>
        <v>#REF!</v>
      </c>
      <c r="AR14" t="e">
        <f>AND(#REF!,"AAAAAH/dYis=")</f>
        <v>#REF!</v>
      </c>
      <c r="AS14" t="e">
        <f>AND(#REF!,"AAAAAH/dYiw=")</f>
        <v>#REF!</v>
      </c>
      <c r="AT14" t="e">
        <f>AND(#REF!,"AAAAAH/dYi0=")</f>
        <v>#REF!</v>
      </c>
      <c r="AU14" t="e">
        <f>AND(#REF!,"AAAAAH/dYi4=")</f>
        <v>#REF!</v>
      </c>
      <c r="AV14" t="e">
        <f>AND(#REF!,"AAAAAH/dYi8=")</f>
        <v>#REF!</v>
      </c>
      <c r="AW14" t="e">
        <f>AND(#REF!,"AAAAAH/dYjA=")</f>
        <v>#REF!</v>
      </c>
      <c r="AX14" t="e">
        <f>AND(#REF!,"AAAAAH/dYjE=")</f>
        <v>#REF!</v>
      </c>
      <c r="AY14" t="e">
        <f>AND(#REF!,"AAAAAH/dYjI=")</f>
        <v>#REF!</v>
      </c>
      <c r="AZ14" t="e">
        <f>AND(#REF!,"AAAAAH/dYjM=")</f>
        <v>#REF!</v>
      </c>
      <c r="BA14" t="e">
        <f>AND(#REF!,"AAAAAH/dYjQ=")</f>
        <v>#REF!</v>
      </c>
      <c r="BB14" t="e">
        <f>AND(#REF!,"AAAAAH/dYjU=")</f>
        <v>#REF!</v>
      </c>
      <c r="BC14" t="e">
        <f>AND(#REF!,"AAAAAH/dYjY=")</f>
        <v>#REF!</v>
      </c>
      <c r="BD14" t="e">
        <f>AND(#REF!,"AAAAAH/dYjc=")</f>
        <v>#REF!</v>
      </c>
      <c r="BE14" t="e">
        <f>AND(#REF!,"AAAAAH/dYjg=")</f>
        <v>#REF!</v>
      </c>
      <c r="BF14" t="e">
        <f>AND(#REF!,"AAAAAH/dYjk=")</f>
        <v>#REF!</v>
      </c>
      <c r="BG14" t="e">
        <f>AND(#REF!,"AAAAAH/dYjo=")</f>
        <v>#REF!</v>
      </c>
      <c r="BH14" t="e">
        <f>AND(#REF!,"AAAAAH/dYjs=")</f>
        <v>#REF!</v>
      </c>
      <c r="BI14" t="e">
        <f>AND(#REF!,"AAAAAH/dYjw=")</f>
        <v>#REF!</v>
      </c>
      <c r="BJ14" t="e">
        <f>AND(#REF!,"AAAAAH/dYj0=")</f>
        <v>#REF!</v>
      </c>
      <c r="BK14" t="e">
        <f>AND(#REF!,"AAAAAH/dYj4=")</f>
        <v>#REF!</v>
      </c>
      <c r="BL14" t="e">
        <f>AND(#REF!,"AAAAAH/dYj8=")</f>
        <v>#REF!</v>
      </c>
      <c r="BM14" t="e">
        <f>AND(#REF!,"AAAAAH/dYkA=")</f>
        <v>#REF!</v>
      </c>
      <c r="BN14" t="e">
        <f>AND(#REF!,"AAAAAH/dYkE=")</f>
        <v>#REF!</v>
      </c>
      <c r="BO14" t="e">
        <f>AND(#REF!,"AAAAAH/dYkI=")</f>
        <v>#REF!</v>
      </c>
      <c r="BP14" t="e">
        <f>AND(#REF!,"AAAAAH/dYkM=")</f>
        <v>#REF!</v>
      </c>
      <c r="BQ14" t="e">
        <f>AND(#REF!,"AAAAAH/dYkQ=")</f>
        <v>#REF!</v>
      </c>
      <c r="BR14" t="e">
        <f>AND(#REF!,"AAAAAH/dYkU=")</f>
        <v>#REF!</v>
      </c>
      <c r="BS14" t="e">
        <f>AND(#REF!,"AAAAAH/dYkY=")</f>
        <v>#REF!</v>
      </c>
      <c r="BT14" t="e">
        <f>IF(#REF!,"AAAAAH/dYkc=",0)</f>
        <v>#REF!</v>
      </c>
      <c r="BU14" t="e">
        <f>AND(#REF!,"AAAAAH/dYkg=")</f>
        <v>#REF!</v>
      </c>
      <c r="BV14" t="e">
        <f>AND(#REF!,"AAAAAH/dYkk=")</f>
        <v>#REF!</v>
      </c>
      <c r="BW14" t="e">
        <f>AND(#REF!,"AAAAAH/dYko=")</f>
        <v>#REF!</v>
      </c>
      <c r="BX14" t="e">
        <f>AND(#REF!,"AAAAAH/dYks=")</f>
        <v>#REF!</v>
      </c>
      <c r="BY14" t="e">
        <f>AND(#REF!,"AAAAAH/dYkw=")</f>
        <v>#REF!</v>
      </c>
      <c r="BZ14" t="e">
        <f>AND(#REF!,"AAAAAH/dYk0=")</f>
        <v>#REF!</v>
      </c>
      <c r="CA14" t="e">
        <f>AND(#REF!,"AAAAAH/dYk4=")</f>
        <v>#REF!</v>
      </c>
      <c r="CB14" t="e">
        <f>AND(#REF!,"AAAAAH/dYk8=")</f>
        <v>#REF!</v>
      </c>
      <c r="CC14" t="e">
        <f>AND(#REF!,"AAAAAH/dYlA=")</f>
        <v>#REF!</v>
      </c>
      <c r="CD14" t="e">
        <f>AND(#REF!,"AAAAAH/dYlE=")</f>
        <v>#REF!</v>
      </c>
      <c r="CE14" t="e">
        <f>AND(#REF!,"AAAAAH/dYlI=")</f>
        <v>#REF!</v>
      </c>
      <c r="CF14" t="e">
        <f>AND(#REF!,"AAAAAH/dYlM=")</f>
        <v>#REF!</v>
      </c>
      <c r="CG14" t="e">
        <f>AND(#REF!,"AAAAAH/dYlQ=")</f>
        <v>#REF!</v>
      </c>
      <c r="CH14" t="e">
        <f>AND(#REF!,"AAAAAH/dYlU=")</f>
        <v>#REF!</v>
      </c>
      <c r="CI14" t="e">
        <f>AND(#REF!,"AAAAAH/dYlY=")</f>
        <v>#REF!</v>
      </c>
      <c r="CJ14" t="e">
        <f>AND(#REF!,"AAAAAH/dYlc=")</f>
        <v>#REF!</v>
      </c>
      <c r="CK14" t="e">
        <f>AND(#REF!,"AAAAAH/dYlg=")</f>
        <v>#REF!</v>
      </c>
      <c r="CL14" t="e">
        <f>AND(#REF!,"AAAAAH/dYlk=")</f>
        <v>#REF!</v>
      </c>
      <c r="CM14" t="e">
        <f>AND(#REF!,"AAAAAH/dYlo=")</f>
        <v>#REF!</v>
      </c>
      <c r="CN14" t="e">
        <f>AND(#REF!,"AAAAAH/dYls=")</f>
        <v>#REF!</v>
      </c>
      <c r="CO14" t="e">
        <f>AND(#REF!,"AAAAAH/dYlw=")</f>
        <v>#REF!</v>
      </c>
      <c r="CP14" t="e">
        <f>AND(#REF!,"AAAAAH/dYl0=")</f>
        <v>#REF!</v>
      </c>
      <c r="CQ14" t="e">
        <f>AND(#REF!,"AAAAAH/dYl4=")</f>
        <v>#REF!</v>
      </c>
      <c r="CR14" t="e">
        <f>AND(#REF!,"AAAAAH/dYl8=")</f>
        <v>#REF!</v>
      </c>
      <c r="CS14" t="e">
        <f>AND(#REF!,"AAAAAH/dYmA=")</f>
        <v>#REF!</v>
      </c>
      <c r="CT14" t="e">
        <f>AND(#REF!,"AAAAAH/dYmE=")</f>
        <v>#REF!</v>
      </c>
      <c r="CU14" t="e">
        <f>AND(#REF!,"AAAAAH/dYmI=")</f>
        <v>#REF!</v>
      </c>
      <c r="CV14" t="e">
        <f>AND(#REF!,"AAAAAH/dYmM=")</f>
        <v>#REF!</v>
      </c>
      <c r="CW14" t="e">
        <f>IF(#REF!,"AAAAAH/dYmQ=",0)</f>
        <v>#REF!</v>
      </c>
      <c r="CX14" t="e">
        <f>AND(#REF!,"AAAAAH/dYmU=")</f>
        <v>#REF!</v>
      </c>
      <c r="CY14" t="e">
        <f>AND(#REF!,"AAAAAH/dYmY=")</f>
        <v>#REF!</v>
      </c>
      <c r="CZ14" t="e">
        <f>AND(#REF!,"AAAAAH/dYmc=")</f>
        <v>#REF!</v>
      </c>
      <c r="DA14" t="e">
        <f>AND(#REF!,"AAAAAH/dYmg=")</f>
        <v>#REF!</v>
      </c>
      <c r="DB14" t="e">
        <f>AND(#REF!,"AAAAAH/dYmk=")</f>
        <v>#REF!</v>
      </c>
      <c r="DC14" t="e">
        <f>AND(#REF!,"AAAAAH/dYmo=")</f>
        <v>#REF!</v>
      </c>
      <c r="DD14" t="e">
        <f>AND(#REF!,"AAAAAH/dYms=")</f>
        <v>#REF!</v>
      </c>
      <c r="DE14" t="e">
        <f>AND(#REF!,"AAAAAH/dYmw=")</f>
        <v>#REF!</v>
      </c>
      <c r="DF14" t="e">
        <f>AND(#REF!,"AAAAAH/dYm0=")</f>
        <v>#REF!</v>
      </c>
      <c r="DG14" t="e">
        <f>AND(#REF!,"AAAAAH/dYm4=")</f>
        <v>#REF!</v>
      </c>
      <c r="DH14" t="e">
        <f>AND(#REF!,"AAAAAH/dYm8=")</f>
        <v>#REF!</v>
      </c>
      <c r="DI14" t="e">
        <f>AND(#REF!,"AAAAAH/dYnA=")</f>
        <v>#REF!</v>
      </c>
      <c r="DJ14" t="e">
        <f>AND(#REF!,"AAAAAH/dYnE=")</f>
        <v>#REF!</v>
      </c>
      <c r="DK14" t="e">
        <f>AND(#REF!,"AAAAAH/dYnI=")</f>
        <v>#REF!</v>
      </c>
      <c r="DL14" t="e">
        <f>AND(#REF!,"AAAAAH/dYnM=")</f>
        <v>#REF!</v>
      </c>
      <c r="DM14" t="e">
        <f>AND(#REF!,"AAAAAH/dYnQ=")</f>
        <v>#REF!</v>
      </c>
      <c r="DN14" t="e">
        <f>AND(#REF!,"AAAAAH/dYnU=")</f>
        <v>#REF!</v>
      </c>
      <c r="DO14" t="e">
        <f>AND(#REF!,"AAAAAH/dYnY=")</f>
        <v>#REF!</v>
      </c>
      <c r="DP14" t="e">
        <f>AND(#REF!,"AAAAAH/dYnc=")</f>
        <v>#REF!</v>
      </c>
      <c r="DQ14" t="e">
        <f>AND(#REF!,"AAAAAH/dYng=")</f>
        <v>#REF!</v>
      </c>
      <c r="DR14" t="e">
        <f>AND(#REF!,"AAAAAH/dYnk=")</f>
        <v>#REF!</v>
      </c>
      <c r="DS14" t="e">
        <f>AND(#REF!,"AAAAAH/dYno=")</f>
        <v>#REF!</v>
      </c>
      <c r="DT14" t="e">
        <f>AND(#REF!,"AAAAAH/dYns=")</f>
        <v>#REF!</v>
      </c>
      <c r="DU14" t="e">
        <f>AND(#REF!,"AAAAAH/dYnw=")</f>
        <v>#REF!</v>
      </c>
      <c r="DV14" t="e">
        <f>AND(#REF!,"AAAAAH/dYn0=")</f>
        <v>#REF!</v>
      </c>
      <c r="DW14" t="e">
        <f>AND(#REF!,"AAAAAH/dYn4=")</f>
        <v>#REF!</v>
      </c>
      <c r="DX14" t="e">
        <f>AND(#REF!,"AAAAAH/dYn8=")</f>
        <v>#REF!</v>
      </c>
      <c r="DY14" t="e">
        <f>AND(#REF!,"AAAAAH/dYoA=")</f>
        <v>#REF!</v>
      </c>
      <c r="DZ14" t="e">
        <f>IF(#REF!,"AAAAAH/dYoE=",0)</f>
        <v>#REF!</v>
      </c>
      <c r="EA14" t="e">
        <f>AND(#REF!,"AAAAAH/dYoI=")</f>
        <v>#REF!</v>
      </c>
      <c r="EB14" t="e">
        <f>AND(#REF!,"AAAAAH/dYoM=")</f>
        <v>#REF!</v>
      </c>
      <c r="EC14" t="e">
        <f>AND(#REF!,"AAAAAH/dYoQ=")</f>
        <v>#REF!</v>
      </c>
      <c r="ED14" t="e">
        <f>AND(#REF!,"AAAAAH/dYoU=")</f>
        <v>#REF!</v>
      </c>
      <c r="EE14" t="e">
        <f>AND(#REF!,"AAAAAH/dYoY=")</f>
        <v>#REF!</v>
      </c>
      <c r="EF14" t="e">
        <f>AND(#REF!,"AAAAAH/dYoc=")</f>
        <v>#REF!</v>
      </c>
      <c r="EG14" t="e">
        <f>AND(#REF!,"AAAAAH/dYog=")</f>
        <v>#REF!</v>
      </c>
      <c r="EH14" t="e">
        <f>AND(#REF!,"AAAAAH/dYok=")</f>
        <v>#REF!</v>
      </c>
      <c r="EI14" t="e">
        <f>AND(#REF!,"AAAAAH/dYoo=")</f>
        <v>#REF!</v>
      </c>
      <c r="EJ14" t="e">
        <f>AND(#REF!,"AAAAAH/dYos=")</f>
        <v>#REF!</v>
      </c>
      <c r="EK14" t="e">
        <f>AND(#REF!,"AAAAAH/dYow=")</f>
        <v>#REF!</v>
      </c>
      <c r="EL14" t="e">
        <f>AND(#REF!,"AAAAAH/dYo0=")</f>
        <v>#REF!</v>
      </c>
      <c r="EM14" t="e">
        <f>AND(#REF!,"AAAAAH/dYo4=")</f>
        <v>#REF!</v>
      </c>
      <c r="EN14" t="e">
        <f>AND(#REF!,"AAAAAH/dYo8=")</f>
        <v>#REF!</v>
      </c>
      <c r="EO14" t="e">
        <f>AND(#REF!,"AAAAAH/dYpA=")</f>
        <v>#REF!</v>
      </c>
      <c r="EP14" t="e">
        <f>AND(#REF!,"AAAAAH/dYpE=")</f>
        <v>#REF!</v>
      </c>
      <c r="EQ14" t="e">
        <f>AND(#REF!,"AAAAAH/dYpI=")</f>
        <v>#REF!</v>
      </c>
      <c r="ER14" t="e">
        <f>AND(#REF!,"AAAAAH/dYpM=")</f>
        <v>#REF!</v>
      </c>
      <c r="ES14" t="e">
        <f>AND(#REF!,"AAAAAH/dYpQ=")</f>
        <v>#REF!</v>
      </c>
      <c r="ET14" t="e">
        <f>AND(#REF!,"AAAAAH/dYpU=")</f>
        <v>#REF!</v>
      </c>
      <c r="EU14" t="e">
        <f>AND(#REF!,"AAAAAH/dYpY=")</f>
        <v>#REF!</v>
      </c>
      <c r="EV14" t="e">
        <f>AND(#REF!,"AAAAAH/dYpc=")</f>
        <v>#REF!</v>
      </c>
      <c r="EW14" t="e">
        <f>AND(#REF!,"AAAAAH/dYpg=")</f>
        <v>#REF!</v>
      </c>
      <c r="EX14" t="e">
        <f>AND(#REF!,"AAAAAH/dYpk=")</f>
        <v>#REF!</v>
      </c>
      <c r="EY14" t="e">
        <f>AND(#REF!,"AAAAAH/dYpo=")</f>
        <v>#REF!</v>
      </c>
      <c r="EZ14" t="e">
        <f>AND(#REF!,"AAAAAH/dYps=")</f>
        <v>#REF!</v>
      </c>
      <c r="FA14" t="e">
        <f>AND(#REF!,"AAAAAH/dYpw=")</f>
        <v>#REF!</v>
      </c>
      <c r="FB14" t="e">
        <f>AND(#REF!,"AAAAAH/dYp0=")</f>
        <v>#REF!</v>
      </c>
      <c r="FC14" t="e">
        <f>IF(#REF!,"AAAAAH/dYp4=",0)</f>
        <v>#REF!</v>
      </c>
      <c r="FD14" t="e">
        <f>AND(#REF!,"AAAAAH/dYp8=")</f>
        <v>#REF!</v>
      </c>
      <c r="FE14" t="e">
        <f>AND(#REF!,"AAAAAH/dYqA=")</f>
        <v>#REF!</v>
      </c>
      <c r="FF14" t="e">
        <f>AND(#REF!,"AAAAAH/dYqE=")</f>
        <v>#REF!</v>
      </c>
      <c r="FG14" t="e">
        <f>AND(#REF!,"AAAAAH/dYqI=")</f>
        <v>#REF!</v>
      </c>
      <c r="FH14" t="e">
        <f>AND(#REF!,"AAAAAH/dYqM=")</f>
        <v>#REF!</v>
      </c>
      <c r="FI14" t="e">
        <f>AND(#REF!,"AAAAAH/dYqQ=")</f>
        <v>#REF!</v>
      </c>
      <c r="FJ14" t="e">
        <f>AND(#REF!,"AAAAAH/dYqU=")</f>
        <v>#REF!</v>
      </c>
      <c r="FK14" t="e">
        <f>AND(#REF!,"AAAAAH/dYqY=")</f>
        <v>#REF!</v>
      </c>
      <c r="FL14" t="e">
        <f>AND(#REF!,"AAAAAH/dYqc=")</f>
        <v>#REF!</v>
      </c>
      <c r="FM14" t="e">
        <f>AND(#REF!,"AAAAAH/dYqg=")</f>
        <v>#REF!</v>
      </c>
      <c r="FN14" t="e">
        <f>AND(#REF!,"AAAAAH/dYqk=")</f>
        <v>#REF!</v>
      </c>
      <c r="FO14" t="e">
        <f>AND(#REF!,"AAAAAH/dYqo=")</f>
        <v>#REF!</v>
      </c>
      <c r="FP14" t="e">
        <f>AND(#REF!,"AAAAAH/dYqs=")</f>
        <v>#REF!</v>
      </c>
      <c r="FQ14" t="e">
        <f>AND(#REF!,"AAAAAH/dYqw=")</f>
        <v>#REF!</v>
      </c>
      <c r="FR14" t="e">
        <f>AND(#REF!,"AAAAAH/dYq0=")</f>
        <v>#REF!</v>
      </c>
      <c r="FS14" t="e">
        <f>AND(#REF!,"AAAAAH/dYq4=")</f>
        <v>#REF!</v>
      </c>
      <c r="FT14" t="e">
        <f>AND(#REF!,"AAAAAH/dYq8=")</f>
        <v>#REF!</v>
      </c>
      <c r="FU14" t="e">
        <f>AND(#REF!,"AAAAAH/dYrA=")</f>
        <v>#REF!</v>
      </c>
      <c r="FV14" t="e">
        <f>AND(#REF!,"AAAAAH/dYrE=")</f>
        <v>#REF!</v>
      </c>
      <c r="FW14" t="e">
        <f>AND(#REF!,"AAAAAH/dYrI=")</f>
        <v>#REF!</v>
      </c>
      <c r="FX14" t="e">
        <f>AND(#REF!,"AAAAAH/dYrM=")</f>
        <v>#REF!</v>
      </c>
      <c r="FY14" t="e">
        <f>AND(#REF!,"AAAAAH/dYrQ=")</f>
        <v>#REF!</v>
      </c>
      <c r="FZ14" t="e">
        <f>AND(#REF!,"AAAAAH/dYrU=")</f>
        <v>#REF!</v>
      </c>
      <c r="GA14" t="e">
        <f>AND(#REF!,"AAAAAH/dYrY=")</f>
        <v>#REF!</v>
      </c>
      <c r="GB14" t="e">
        <f>AND(#REF!,"AAAAAH/dYrc=")</f>
        <v>#REF!</v>
      </c>
      <c r="GC14" t="e">
        <f>AND(#REF!,"AAAAAH/dYrg=")</f>
        <v>#REF!</v>
      </c>
      <c r="GD14" t="e">
        <f>AND(#REF!,"AAAAAH/dYrk=")</f>
        <v>#REF!</v>
      </c>
      <c r="GE14" t="e">
        <f>AND(#REF!,"AAAAAH/dYro=")</f>
        <v>#REF!</v>
      </c>
      <c r="GF14" t="e">
        <f>IF(#REF!,"AAAAAH/dYrs=",0)</f>
        <v>#REF!</v>
      </c>
      <c r="GG14" t="e">
        <f>AND(#REF!,"AAAAAH/dYrw=")</f>
        <v>#REF!</v>
      </c>
      <c r="GH14" t="e">
        <f>AND(#REF!,"AAAAAH/dYr0=")</f>
        <v>#REF!</v>
      </c>
      <c r="GI14" t="e">
        <f>AND(#REF!,"AAAAAH/dYr4=")</f>
        <v>#REF!</v>
      </c>
      <c r="GJ14" t="e">
        <f>AND(#REF!,"AAAAAH/dYr8=")</f>
        <v>#REF!</v>
      </c>
      <c r="GK14" t="e">
        <f>AND(#REF!,"AAAAAH/dYsA=")</f>
        <v>#REF!</v>
      </c>
      <c r="GL14" t="e">
        <f>AND(#REF!,"AAAAAH/dYsE=")</f>
        <v>#REF!</v>
      </c>
      <c r="GM14" t="e">
        <f>AND(#REF!,"AAAAAH/dYsI=")</f>
        <v>#REF!</v>
      </c>
      <c r="GN14" t="e">
        <f>AND(#REF!,"AAAAAH/dYsM=")</f>
        <v>#REF!</v>
      </c>
      <c r="GO14" t="e">
        <f>AND(#REF!,"AAAAAH/dYsQ=")</f>
        <v>#REF!</v>
      </c>
      <c r="GP14" t="e">
        <f>AND(#REF!,"AAAAAH/dYsU=")</f>
        <v>#REF!</v>
      </c>
      <c r="GQ14" t="e">
        <f>AND(#REF!,"AAAAAH/dYsY=")</f>
        <v>#REF!</v>
      </c>
      <c r="GR14" t="e">
        <f>AND(#REF!,"AAAAAH/dYsc=")</f>
        <v>#REF!</v>
      </c>
      <c r="GS14" t="e">
        <f>AND(#REF!,"AAAAAH/dYsg=")</f>
        <v>#REF!</v>
      </c>
      <c r="GT14" t="e">
        <f>AND(#REF!,"AAAAAH/dYsk=")</f>
        <v>#REF!</v>
      </c>
      <c r="GU14" t="e">
        <f>AND(#REF!,"AAAAAH/dYso=")</f>
        <v>#REF!</v>
      </c>
      <c r="GV14" t="e">
        <f>AND(#REF!,"AAAAAH/dYss=")</f>
        <v>#REF!</v>
      </c>
      <c r="GW14" t="e">
        <f>AND(#REF!,"AAAAAH/dYsw=")</f>
        <v>#REF!</v>
      </c>
      <c r="GX14" t="e">
        <f>AND(#REF!,"AAAAAH/dYs0=")</f>
        <v>#REF!</v>
      </c>
      <c r="GY14" t="e">
        <f>AND(#REF!,"AAAAAH/dYs4=")</f>
        <v>#REF!</v>
      </c>
      <c r="GZ14" t="e">
        <f>AND(#REF!,"AAAAAH/dYs8=")</f>
        <v>#REF!</v>
      </c>
      <c r="HA14" t="e">
        <f>AND(#REF!,"AAAAAH/dYtA=")</f>
        <v>#REF!</v>
      </c>
      <c r="HB14" t="e">
        <f>AND(#REF!,"AAAAAH/dYtE=")</f>
        <v>#REF!</v>
      </c>
      <c r="HC14" t="e">
        <f>AND(#REF!,"AAAAAH/dYtI=")</f>
        <v>#REF!</v>
      </c>
      <c r="HD14" t="e">
        <f>AND(#REF!,"AAAAAH/dYtM=")</f>
        <v>#REF!</v>
      </c>
      <c r="HE14" t="e">
        <f>AND(#REF!,"AAAAAH/dYtQ=")</f>
        <v>#REF!</v>
      </c>
      <c r="HF14" t="e">
        <f>AND(#REF!,"AAAAAH/dYtU=")</f>
        <v>#REF!</v>
      </c>
      <c r="HG14" t="e">
        <f>AND(#REF!,"AAAAAH/dYtY=")</f>
        <v>#REF!</v>
      </c>
      <c r="HH14" t="e">
        <f>AND(#REF!,"AAAAAH/dYtc=")</f>
        <v>#REF!</v>
      </c>
      <c r="HI14" t="e">
        <f>IF(#REF!,"AAAAAH/dYtg=",0)</f>
        <v>#REF!</v>
      </c>
      <c r="HJ14" t="e">
        <f>AND(#REF!,"AAAAAH/dYtk=")</f>
        <v>#REF!</v>
      </c>
      <c r="HK14" t="e">
        <f>AND(#REF!,"AAAAAH/dYto=")</f>
        <v>#REF!</v>
      </c>
      <c r="HL14" t="e">
        <f>AND(#REF!,"AAAAAH/dYts=")</f>
        <v>#REF!</v>
      </c>
      <c r="HM14" t="e">
        <f>AND(#REF!,"AAAAAH/dYtw=")</f>
        <v>#REF!</v>
      </c>
      <c r="HN14" t="e">
        <f>AND(#REF!,"AAAAAH/dYt0=")</f>
        <v>#REF!</v>
      </c>
      <c r="HO14" t="e">
        <f>AND(#REF!,"AAAAAH/dYt4=")</f>
        <v>#REF!</v>
      </c>
      <c r="HP14" t="e">
        <f>AND(#REF!,"AAAAAH/dYt8=")</f>
        <v>#REF!</v>
      </c>
      <c r="HQ14" t="e">
        <f>AND(#REF!,"AAAAAH/dYuA=")</f>
        <v>#REF!</v>
      </c>
      <c r="HR14" t="e">
        <f>AND(#REF!,"AAAAAH/dYuE=")</f>
        <v>#REF!</v>
      </c>
      <c r="HS14" t="e">
        <f>AND(#REF!,"AAAAAH/dYuI=")</f>
        <v>#REF!</v>
      </c>
      <c r="HT14" t="e">
        <f>AND(#REF!,"AAAAAH/dYuM=")</f>
        <v>#REF!</v>
      </c>
      <c r="HU14" t="e">
        <f>AND(#REF!,"AAAAAH/dYuQ=")</f>
        <v>#REF!</v>
      </c>
      <c r="HV14" t="e">
        <f>AND(#REF!,"AAAAAH/dYuU=")</f>
        <v>#REF!</v>
      </c>
      <c r="HW14" t="e">
        <f>AND(#REF!,"AAAAAH/dYuY=")</f>
        <v>#REF!</v>
      </c>
      <c r="HX14" t="e">
        <f>AND(#REF!,"AAAAAH/dYuc=")</f>
        <v>#REF!</v>
      </c>
      <c r="HY14" t="e">
        <f>AND(#REF!,"AAAAAH/dYug=")</f>
        <v>#REF!</v>
      </c>
      <c r="HZ14" t="e">
        <f>AND(#REF!,"AAAAAH/dYuk=")</f>
        <v>#REF!</v>
      </c>
      <c r="IA14" t="e">
        <f>AND(#REF!,"AAAAAH/dYuo=")</f>
        <v>#REF!</v>
      </c>
      <c r="IB14" t="e">
        <f>AND(#REF!,"AAAAAH/dYus=")</f>
        <v>#REF!</v>
      </c>
      <c r="IC14" t="e">
        <f>AND(#REF!,"AAAAAH/dYuw=")</f>
        <v>#REF!</v>
      </c>
      <c r="ID14" t="e">
        <f>AND(#REF!,"AAAAAH/dYu0=")</f>
        <v>#REF!</v>
      </c>
      <c r="IE14" t="e">
        <f>AND(#REF!,"AAAAAH/dYu4=")</f>
        <v>#REF!</v>
      </c>
      <c r="IF14" t="e">
        <f>AND(#REF!,"AAAAAH/dYu8=")</f>
        <v>#REF!</v>
      </c>
      <c r="IG14" t="e">
        <f>AND(#REF!,"AAAAAH/dYvA=")</f>
        <v>#REF!</v>
      </c>
      <c r="IH14" t="e">
        <f>AND(#REF!,"AAAAAH/dYvE=")</f>
        <v>#REF!</v>
      </c>
      <c r="II14" t="e">
        <f>AND(#REF!,"AAAAAH/dYvI=")</f>
        <v>#REF!</v>
      </c>
      <c r="IJ14" t="e">
        <f>AND(#REF!,"AAAAAH/dYvM=")</f>
        <v>#REF!</v>
      </c>
      <c r="IK14" t="e">
        <f>AND(#REF!,"AAAAAH/dYvQ=")</f>
        <v>#REF!</v>
      </c>
      <c r="IL14" t="e">
        <f>IF(#REF!,"AAAAAH/dYvU=",0)</f>
        <v>#REF!</v>
      </c>
      <c r="IM14" t="e">
        <f>AND(#REF!,"AAAAAH/dYvY=")</f>
        <v>#REF!</v>
      </c>
      <c r="IN14" t="e">
        <f>AND(#REF!,"AAAAAH/dYvc=")</f>
        <v>#REF!</v>
      </c>
      <c r="IO14" t="e">
        <f>AND(#REF!,"AAAAAH/dYvg=")</f>
        <v>#REF!</v>
      </c>
      <c r="IP14" t="e">
        <f>AND(#REF!,"AAAAAH/dYvk=")</f>
        <v>#REF!</v>
      </c>
      <c r="IQ14" t="e">
        <f>AND(#REF!,"AAAAAH/dYvo=")</f>
        <v>#REF!</v>
      </c>
      <c r="IR14" t="e">
        <f>AND(#REF!,"AAAAAH/dYvs=")</f>
        <v>#REF!</v>
      </c>
      <c r="IS14" t="e">
        <f>AND(#REF!,"AAAAAH/dYvw=")</f>
        <v>#REF!</v>
      </c>
      <c r="IT14" t="e">
        <f>AND(#REF!,"AAAAAH/dYv0=")</f>
        <v>#REF!</v>
      </c>
      <c r="IU14" t="e">
        <f>AND(#REF!,"AAAAAH/dYv4=")</f>
        <v>#REF!</v>
      </c>
      <c r="IV14" t="e">
        <f>AND(#REF!,"AAAAAH/dYv8=")</f>
        <v>#REF!</v>
      </c>
    </row>
    <row r="15" spans="1:256" x14ac:dyDescent="0.2">
      <c r="A15" t="e">
        <f>AND(#REF!,"AAAAAH/99gA=")</f>
        <v>#REF!</v>
      </c>
      <c r="B15" t="e">
        <f>AND(#REF!,"AAAAAH/99gE=")</f>
        <v>#REF!</v>
      </c>
      <c r="C15" t="e">
        <f>AND(#REF!,"AAAAAH/99gI=")</f>
        <v>#REF!</v>
      </c>
      <c r="D15" t="e">
        <f>AND(#REF!,"AAAAAH/99gM=")</f>
        <v>#REF!</v>
      </c>
      <c r="E15" t="e">
        <f>AND(#REF!,"AAAAAH/99gQ=")</f>
        <v>#REF!</v>
      </c>
      <c r="F15" t="e">
        <f>AND(#REF!,"AAAAAH/99gU=")</f>
        <v>#REF!</v>
      </c>
      <c r="G15" t="e">
        <f>AND(#REF!,"AAAAAH/99gY=")</f>
        <v>#REF!</v>
      </c>
      <c r="H15" t="e">
        <f>AND(#REF!,"AAAAAH/99gc=")</f>
        <v>#REF!</v>
      </c>
      <c r="I15" t="e">
        <f>AND(#REF!,"AAAAAH/99gg=")</f>
        <v>#REF!</v>
      </c>
      <c r="J15" t="e">
        <f>AND(#REF!,"AAAAAH/99gk=")</f>
        <v>#REF!</v>
      </c>
      <c r="K15" t="e">
        <f>AND(#REF!,"AAAAAH/99go=")</f>
        <v>#REF!</v>
      </c>
      <c r="L15" t="e">
        <f>AND(#REF!,"AAAAAH/99gs=")</f>
        <v>#REF!</v>
      </c>
      <c r="M15" t="e">
        <f>AND(#REF!,"AAAAAH/99gw=")</f>
        <v>#REF!</v>
      </c>
      <c r="N15" t="e">
        <f>AND(#REF!,"AAAAAH/99g0=")</f>
        <v>#REF!</v>
      </c>
      <c r="O15" t="e">
        <f>AND(#REF!,"AAAAAH/99g4=")</f>
        <v>#REF!</v>
      </c>
      <c r="P15" t="e">
        <f>AND(#REF!,"AAAAAH/99g8=")</f>
        <v>#REF!</v>
      </c>
      <c r="Q15" t="e">
        <f>AND(#REF!,"AAAAAH/99hA=")</f>
        <v>#REF!</v>
      </c>
      <c r="R15" t="e">
        <f>AND(#REF!,"AAAAAH/99hE=")</f>
        <v>#REF!</v>
      </c>
      <c r="S15" t="e">
        <f>IF(#REF!,"AAAAAH/99hI=",0)</f>
        <v>#REF!</v>
      </c>
      <c r="T15" t="e">
        <f>AND(#REF!,"AAAAAH/99hM=")</f>
        <v>#REF!</v>
      </c>
      <c r="U15" t="e">
        <f>AND(#REF!,"AAAAAH/99hQ=")</f>
        <v>#REF!</v>
      </c>
      <c r="V15" t="e">
        <f>AND(#REF!,"AAAAAH/99hU=")</f>
        <v>#REF!</v>
      </c>
      <c r="W15" t="e">
        <f>AND(#REF!,"AAAAAH/99hY=")</f>
        <v>#REF!</v>
      </c>
      <c r="X15" t="e">
        <f>AND(#REF!,"AAAAAH/99hc=")</f>
        <v>#REF!</v>
      </c>
      <c r="Y15" t="e">
        <f>AND(#REF!,"AAAAAH/99hg=")</f>
        <v>#REF!</v>
      </c>
      <c r="Z15" t="e">
        <f>AND(#REF!,"AAAAAH/99hk=")</f>
        <v>#REF!</v>
      </c>
      <c r="AA15" t="e">
        <f>AND(#REF!,"AAAAAH/99ho=")</f>
        <v>#REF!</v>
      </c>
      <c r="AB15" t="e">
        <f>AND(#REF!,"AAAAAH/99hs=")</f>
        <v>#REF!</v>
      </c>
      <c r="AC15" t="e">
        <f>AND(#REF!,"AAAAAH/99hw=")</f>
        <v>#REF!</v>
      </c>
      <c r="AD15" t="e">
        <f>AND(#REF!,"AAAAAH/99h0=")</f>
        <v>#REF!</v>
      </c>
      <c r="AE15" t="e">
        <f>AND(#REF!,"AAAAAH/99h4=")</f>
        <v>#REF!</v>
      </c>
      <c r="AF15" t="e">
        <f>AND(#REF!,"AAAAAH/99h8=")</f>
        <v>#REF!</v>
      </c>
      <c r="AG15" t="e">
        <f>AND(#REF!,"AAAAAH/99iA=")</f>
        <v>#REF!</v>
      </c>
      <c r="AH15" t="e">
        <f>AND(#REF!,"AAAAAH/99iE=")</f>
        <v>#REF!</v>
      </c>
      <c r="AI15" t="e">
        <f>AND(#REF!,"AAAAAH/99iI=")</f>
        <v>#REF!</v>
      </c>
      <c r="AJ15" t="e">
        <f>AND(#REF!,"AAAAAH/99iM=")</f>
        <v>#REF!</v>
      </c>
      <c r="AK15" t="e">
        <f>AND(#REF!,"AAAAAH/99iQ=")</f>
        <v>#REF!</v>
      </c>
      <c r="AL15" t="e">
        <f>AND(#REF!,"AAAAAH/99iU=")</f>
        <v>#REF!</v>
      </c>
      <c r="AM15" t="e">
        <f>AND(#REF!,"AAAAAH/99iY=")</f>
        <v>#REF!</v>
      </c>
      <c r="AN15" t="e">
        <f>AND(#REF!,"AAAAAH/99ic=")</f>
        <v>#REF!</v>
      </c>
      <c r="AO15" t="e">
        <f>AND(#REF!,"AAAAAH/99ig=")</f>
        <v>#REF!</v>
      </c>
      <c r="AP15" t="e">
        <f>AND(#REF!,"AAAAAH/99ik=")</f>
        <v>#REF!</v>
      </c>
      <c r="AQ15" t="e">
        <f>AND(#REF!,"AAAAAH/99io=")</f>
        <v>#REF!</v>
      </c>
      <c r="AR15" t="e">
        <f>AND(#REF!,"AAAAAH/99is=")</f>
        <v>#REF!</v>
      </c>
      <c r="AS15" t="e">
        <f>AND(#REF!,"AAAAAH/99iw=")</f>
        <v>#REF!</v>
      </c>
      <c r="AT15" t="e">
        <f>AND(#REF!,"AAAAAH/99i0=")</f>
        <v>#REF!</v>
      </c>
      <c r="AU15" t="e">
        <f>AND(#REF!,"AAAAAH/99i4=")</f>
        <v>#REF!</v>
      </c>
      <c r="AV15" t="e">
        <f>IF(#REF!,"AAAAAH/99i8=",0)</f>
        <v>#REF!</v>
      </c>
      <c r="AW15" t="e">
        <f>AND(#REF!,"AAAAAH/99jA=")</f>
        <v>#REF!</v>
      </c>
      <c r="AX15" t="e">
        <f>AND(#REF!,"AAAAAH/99jE=")</f>
        <v>#REF!</v>
      </c>
      <c r="AY15" t="e">
        <f>AND(#REF!,"AAAAAH/99jI=")</f>
        <v>#REF!</v>
      </c>
      <c r="AZ15" t="e">
        <f>AND(#REF!,"AAAAAH/99jM=")</f>
        <v>#REF!</v>
      </c>
      <c r="BA15" t="e">
        <f>AND(#REF!,"AAAAAH/99jQ=")</f>
        <v>#REF!</v>
      </c>
      <c r="BB15" t="e">
        <f>AND(#REF!,"AAAAAH/99jU=")</f>
        <v>#REF!</v>
      </c>
      <c r="BC15" t="e">
        <f>AND(#REF!,"AAAAAH/99jY=")</f>
        <v>#REF!</v>
      </c>
      <c r="BD15" t="e">
        <f>AND(#REF!,"AAAAAH/99jc=")</f>
        <v>#REF!</v>
      </c>
      <c r="BE15" t="e">
        <f>AND(#REF!,"AAAAAH/99jg=")</f>
        <v>#REF!</v>
      </c>
      <c r="BF15" t="e">
        <f>AND(#REF!,"AAAAAH/99jk=")</f>
        <v>#REF!</v>
      </c>
      <c r="BG15" t="e">
        <f>AND(#REF!,"AAAAAH/99jo=")</f>
        <v>#REF!</v>
      </c>
      <c r="BH15" t="e">
        <f>AND(#REF!,"AAAAAH/99js=")</f>
        <v>#REF!</v>
      </c>
      <c r="BI15" t="e">
        <f>AND(#REF!,"AAAAAH/99jw=")</f>
        <v>#REF!</v>
      </c>
      <c r="BJ15" t="e">
        <f>AND(#REF!,"AAAAAH/99j0=")</f>
        <v>#REF!</v>
      </c>
      <c r="BK15" t="e">
        <f>AND(#REF!,"AAAAAH/99j4=")</f>
        <v>#REF!</v>
      </c>
      <c r="BL15" t="e">
        <f>AND(#REF!,"AAAAAH/99j8=")</f>
        <v>#REF!</v>
      </c>
      <c r="BM15" t="e">
        <f>AND(#REF!,"AAAAAH/99kA=")</f>
        <v>#REF!</v>
      </c>
      <c r="BN15" t="e">
        <f>AND(#REF!,"AAAAAH/99kE=")</f>
        <v>#REF!</v>
      </c>
      <c r="BO15" t="e">
        <f>AND(#REF!,"AAAAAH/99kI=")</f>
        <v>#REF!</v>
      </c>
      <c r="BP15" t="e">
        <f>AND(#REF!,"AAAAAH/99kM=")</f>
        <v>#REF!</v>
      </c>
      <c r="BQ15" t="e">
        <f>AND(#REF!,"AAAAAH/99kQ=")</f>
        <v>#REF!</v>
      </c>
      <c r="BR15" t="e">
        <f>AND(#REF!,"AAAAAH/99kU=")</f>
        <v>#REF!</v>
      </c>
      <c r="BS15" t="e">
        <f>AND(#REF!,"AAAAAH/99kY=")</f>
        <v>#REF!</v>
      </c>
      <c r="BT15" t="e">
        <f>AND(#REF!,"AAAAAH/99kc=")</f>
        <v>#REF!</v>
      </c>
      <c r="BU15" t="e">
        <f>AND(#REF!,"AAAAAH/99kg=")</f>
        <v>#REF!</v>
      </c>
      <c r="BV15" t="e">
        <f>AND(#REF!,"AAAAAH/99kk=")</f>
        <v>#REF!</v>
      </c>
      <c r="BW15" t="e">
        <f>AND(#REF!,"AAAAAH/99ko=")</f>
        <v>#REF!</v>
      </c>
      <c r="BX15" t="e">
        <f>AND(#REF!,"AAAAAH/99ks=")</f>
        <v>#REF!</v>
      </c>
      <c r="BY15" t="e">
        <f>IF(#REF!,"AAAAAH/99kw=",0)</f>
        <v>#REF!</v>
      </c>
      <c r="BZ15" t="e">
        <f>AND(#REF!,"AAAAAH/99k0=")</f>
        <v>#REF!</v>
      </c>
      <c r="CA15" t="e">
        <f>AND(#REF!,"AAAAAH/99k4=")</f>
        <v>#REF!</v>
      </c>
      <c r="CB15" t="e">
        <f>AND(#REF!,"AAAAAH/99k8=")</f>
        <v>#REF!</v>
      </c>
      <c r="CC15" t="e">
        <f>AND(#REF!,"AAAAAH/99lA=")</f>
        <v>#REF!</v>
      </c>
      <c r="CD15" t="e">
        <f>AND(#REF!,"AAAAAH/99lE=")</f>
        <v>#REF!</v>
      </c>
      <c r="CE15" t="e">
        <f>AND(#REF!,"AAAAAH/99lI=")</f>
        <v>#REF!</v>
      </c>
      <c r="CF15" t="e">
        <f>AND(#REF!,"AAAAAH/99lM=")</f>
        <v>#REF!</v>
      </c>
      <c r="CG15" t="e">
        <f>AND(#REF!,"AAAAAH/99lQ=")</f>
        <v>#REF!</v>
      </c>
      <c r="CH15" t="e">
        <f>AND(#REF!,"AAAAAH/99lU=")</f>
        <v>#REF!</v>
      </c>
      <c r="CI15" t="e">
        <f>AND(#REF!,"AAAAAH/99lY=")</f>
        <v>#REF!</v>
      </c>
      <c r="CJ15" t="e">
        <f>AND(#REF!,"AAAAAH/99lc=")</f>
        <v>#REF!</v>
      </c>
      <c r="CK15" t="e">
        <f>AND(#REF!,"AAAAAH/99lg=")</f>
        <v>#REF!</v>
      </c>
      <c r="CL15" t="e">
        <f>AND(#REF!,"AAAAAH/99lk=")</f>
        <v>#REF!</v>
      </c>
      <c r="CM15" t="e">
        <f>AND(#REF!,"AAAAAH/99lo=")</f>
        <v>#REF!</v>
      </c>
      <c r="CN15" t="e">
        <f>AND(#REF!,"AAAAAH/99ls=")</f>
        <v>#REF!</v>
      </c>
      <c r="CO15" t="e">
        <f>AND(#REF!,"AAAAAH/99lw=")</f>
        <v>#REF!</v>
      </c>
      <c r="CP15" t="e">
        <f>AND(#REF!,"AAAAAH/99l0=")</f>
        <v>#REF!</v>
      </c>
      <c r="CQ15" t="e">
        <f>AND(#REF!,"AAAAAH/99l4=")</f>
        <v>#REF!</v>
      </c>
      <c r="CR15" t="e">
        <f>AND(#REF!,"AAAAAH/99l8=")</f>
        <v>#REF!</v>
      </c>
      <c r="CS15" t="e">
        <f>AND(#REF!,"AAAAAH/99mA=")</f>
        <v>#REF!</v>
      </c>
      <c r="CT15" t="e">
        <f>AND(#REF!,"AAAAAH/99mE=")</f>
        <v>#REF!</v>
      </c>
      <c r="CU15" t="e">
        <f>AND(#REF!,"AAAAAH/99mI=")</f>
        <v>#REF!</v>
      </c>
      <c r="CV15" t="e">
        <f>AND(#REF!,"AAAAAH/99mM=")</f>
        <v>#REF!</v>
      </c>
      <c r="CW15" t="e">
        <f>AND(#REF!,"AAAAAH/99mQ=")</f>
        <v>#REF!</v>
      </c>
      <c r="CX15" t="e">
        <f>AND(#REF!,"AAAAAH/99mU=")</f>
        <v>#REF!</v>
      </c>
      <c r="CY15" t="e">
        <f>AND(#REF!,"AAAAAH/99mY=")</f>
        <v>#REF!</v>
      </c>
      <c r="CZ15" t="e">
        <f>AND(#REF!,"AAAAAH/99mc=")</f>
        <v>#REF!</v>
      </c>
      <c r="DA15" t="e">
        <f>AND(#REF!,"AAAAAH/99mg=")</f>
        <v>#REF!</v>
      </c>
      <c r="DB15" t="e">
        <f>IF(#REF!,"AAAAAH/99mk=",0)</f>
        <v>#REF!</v>
      </c>
      <c r="DC15" t="e">
        <f>AND(#REF!,"AAAAAH/99mo=")</f>
        <v>#REF!</v>
      </c>
      <c r="DD15" t="e">
        <f>AND(#REF!,"AAAAAH/99ms=")</f>
        <v>#REF!</v>
      </c>
      <c r="DE15" t="e">
        <f>AND(#REF!,"AAAAAH/99mw=")</f>
        <v>#REF!</v>
      </c>
      <c r="DF15" t="e">
        <f>AND(#REF!,"AAAAAH/99m0=")</f>
        <v>#REF!</v>
      </c>
      <c r="DG15" t="e">
        <f>AND(#REF!,"AAAAAH/99m4=")</f>
        <v>#REF!</v>
      </c>
      <c r="DH15" t="e">
        <f>AND(#REF!,"AAAAAH/99m8=")</f>
        <v>#REF!</v>
      </c>
      <c r="DI15" t="e">
        <f>AND(#REF!,"AAAAAH/99nA=")</f>
        <v>#REF!</v>
      </c>
      <c r="DJ15" t="e">
        <f>AND(#REF!,"AAAAAH/99nE=")</f>
        <v>#REF!</v>
      </c>
      <c r="DK15" t="e">
        <f>AND(#REF!,"AAAAAH/99nI=")</f>
        <v>#REF!</v>
      </c>
      <c r="DL15" t="e">
        <f>AND(#REF!,"AAAAAH/99nM=")</f>
        <v>#REF!</v>
      </c>
      <c r="DM15" t="e">
        <f>AND(#REF!,"AAAAAH/99nQ=")</f>
        <v>#REF!</v>
      </c>
      <c r="DN15" t="e">
        <f>AND(#REF!,"AAAAAH/99nU=")</f>
        <v>#REF!</v>
      </c>
      <c r="DO15" t="e">
        <f>AND(#REF!,"AAAAAH/99nY=")</f>
        <v>#REF!</v>
      </c>
      <c r="DP15" t="e">
        <f>AND(#REF!,"AAAAAH/99nc=")</f>
        <v>#REF!</v>
      </c>
      <c r="DQ15" t="e">
        <f>AND(#REF!,"AAAAAH/99ng=")</f>
        <v>#REF!</v>
      </c>
      <c r="DR15" t="e">
        <f>AND(#REF!,"AAAAAH/99nk=")</f>
        <v>#REF!</v>
      </c>
      <c r="DS15" t="e">
        <f>AND(#REF!,"AAAAAH/99no=")</f>
        <v>#REF!</v>
      </c>
      <c r="DT15" t="e">
        <f>AND(#REF!,"AAAAAH/99ns=")</f>
        <v>#REF!</v>
      </c>
      <c r="DU15" t="e">
        <f>AND(#REF!,"AAAAAH/99nw=")</f>
        <v>#REF!</v>
      </c>
      <c r="DV15" t="e">
        <f>AND(#REF!,"AAAAAH/99n0=")</f>
        <v>#REF!</v>
      </c>
      <c r="DW15" t="e">
        <f>AND(#REF!,"AAAAAH/99n4=")</f>
        <v>#REF!</v>
      </c>
      <c r="DX15" t="e">
        <f>AND(#REF!,"AAAAAH/99n8=")</f>
        <v>#REF!</v>
      </c>
      <c r="DY15" t="e">
        <f>AND(#REF!,"AAAAAH/99oA=")</f>
        <v>#REF!</v>
      </c>
      <c r="DZ15" t="e">
        <f>AND(#REF!,"AAAAAH/99oE=")</f>
        <v>#REF!</v>
      </c>
      <c r="EA15" t="e">
        <f>AND(#REF!,"AAAAAH/99oI=")</f>
        <v>#REF!</v>
      </c>
      <c r="EB15" t="e">
        <f>AND(#REF!,"AAAAAH/99oM=")</f>
        <v>#REF!</v>
      </c>
      <c r="EC15" t="e">
        <f>AND(#REF!,"AAAAAH/99oQ=")</f>
        <v>#REF!</v>
      </c>
      <c r="ED15" t="e">
        <f>AND(#REF!,"AAAAAH/99oU=")</f>
        <v>#REF!</v>
      </c>
      <c r="EE15" t="e">
        <f>IF(#REF!,"AAAAAH/99oY=",0)</f>
        <v>#REF!</v>
      </c>
      <c r="EF15" t="e">
        <f>AND(#REF!,"AAAAAH/99oc=")</f>
        <v>#REF!</v>
      </c>
      <c r="EG15" t="e">
        <f>AND(#REF!,"AAAAAH/99og=")</f>
        <v>#REF!</v>
      </c>
      <c r="EH15" t="e">
        <f>AND(#REF!,"AAAAAH/99ok=")</f>
        <v>#REF!</v>
      </c>
      <c r="EI15" t="e">
        <f>AND(#REF!,"AAAAAH/99oo=")</f>
        <v>#REF!</v>
      </c>
      <c r="EJ15" t="e">
        <f>AND(#REF!,"AAAAAH/99os=")</f>
        <v>#REF!</v>
      </c>
      <c r="EK15" t="e">
        <f>AND(#REF!,"AAAAAH/99ow=")</f>
        <v>#REF!</v>
      </c>
      <c r="EL15" t="e">
        <f>AND(#REF!,"AAAAAH/99o0=")</f>
        <v>#REF!</v>
      </c>
      <c r="EM15" t="e">
        <f>AND(#REF!,"AAAAAH/99o4=")</f>
        <v>#REF!</v>
      </c>
      <c r="EN15" t="e">
        <f>AND(#REF!,"AAAAAH/99o8=")</f>
        <v>#REF!</v>
      </c>
      <c r="EO15" t="e">
        <f>AND(#REF!,"AAAAAH/99pA=")</f>
        <v>#REF!</v>
      </c>
      <c r="EP15" t="e">
        <f>AND(#REF!,"AAAAAH/99pE=")</f>
        <v>#REF!</v>
      </c>
      <c r="EQ15" t="e">
        <f>AND(#REF!,"AAAAAH/99pI=")</f>
        <v>#REF!</v>
      </c>
      <c r="ER15" t="e">
        <f>AND(#REF!,"AAAAAH/99pM=")</f>
        <v>#REF!</v>
      </c>
      <c r="ES15" t="e">
        <f>AND(#REF!,"AAAAAH/99pQ=")</f>
        <v>#REF!</v>
      </c>
      <c r="ET15" t="e">
        <f>AND(#REF!,"AAAAAH/99pU=")</f>
        <v>#REF!</v>
      </c>
      <c r="EU15" t="e">
        <f>AND(#REF!,"AAAAAH/99pY=")</f>
        <v>#REF!</v>
      </c>
      <c r="EV15" t="e">
        <f>AND(#REF!,"AAAAAH/99pc=")</f>
        <v>#REF!</v>
      </c>
      <c r="EW15" t="e">
        <f>AND(#REF!,"AAAAAH/99pg=")</f>
        <v>#REF!</v>
      </c>
      <c r="EX15" t="e">
        <f>AND(#REF!,"AAAAAH/99pk=")</f>
        <v>#REF!</v>
      </c>
      <c r="EY15" t="e">
        <f>AND(#REF!,"AAAAAH/99po=")</f>
        <v>#REF!</v>
      </c>
      <c r="EZ15" t="e">
        <f>AND(#REF!,"AAAAAH/99ps=")</f>
        <v>#REF!</v>
      </c>
      <c r="FA15" t="e">
        <f>AND(#REF!,"AAAAAH/99pw=")</f>
        <v>#REF!</v>
      </c>
      <c r="FB15" t="e">
        <f>AND(#REF!,"AAAAAH/99p0=")</f>
        <v>#REF!</v>
      </c>
      <c r="FC15" t="e">
        <f>AND(#REF!,"AAAAAH/99p4=")</f>
        <v>#REF!</v>
      </c>
      <c r="FD15" t="e">
        <f>AND(#REF!,"AAAAAH/99p8=")</f>
        <v>#REF!</v>
      </c>
      <c r="FE15" t="e">
        <f>AND(#REF!,"AAAAAH/99qA=")</f>
        <v>#REF!</v>
      </c>
      <c r="FF15" t="e">
        <f>AND(#REF!,"AAAAAH/99qE=")</f>
        <v>#REF!</v>
      </c>
      <c r="FG15" t="e">
        <f>AND(#REF!,"AAAAAH/99qI=")</f>
        <v>#REF!</v>
      </c>
      <c r="FH15" t="e">
        <f>IF(#REF!,"AAAAAH/99qM=",0)</f>
        <v>#REF!</v>
      </c>
      <c r="FI15" t="e">
        <f>AND(#REF!,"AAAAAH/99qQ=")</f>
        <v>#REF!</v>
      </c>
      <c r="FJ15" t="e">
        <f>AND(#REF!,"AAAAAH/99qU=")</f>
        <v>#REF!</v>
      </c>
      <c r="FK15" t="e">
        <f>AND(#REF!,"AAAAAH/99qY=")</f>
        <v>#REF!</v>
      </c>
      <c r="FL15" t="e">
        <f>AND(#REF!,"AAAAAH/99qc=")</f>
        <v>#REF!</v>
      </c>
      <c r="FM15" t="e">
        <f>AND(#REF!,"AAAAAH/99qg=")</f>
        <v>#REF!</v>
      </c>
      <c r="FN15" t="e">
        <f>AND(#REF!,"AAAAAH/99qk=")</f>
        <v>#REF!</v>
      </c>
      <c r="FO15" t="e">
        <f>AND(#REF!,"AAAAAH/99qo=")</f>
        <v>#REF!</v>
      </c>
      <c r="FP15" t="e">
        <f>AND(#REF!,"AAAAAH/99qs=")</f>
        <v>#REF!</v>
      </c>
      <c r="FQ15" t="e">
        <f>AND(#REF!,"AAAAAH/99qw=")</f>
        <v>#REF!</v>
      </c>
      <c r="FR15" t="e">
        <f>AND(#REF!,"AAAAAH/99q0=")</f>
        <v>#REF!</v>
      </c>
      <c r="FS15" t="e">
        <f>AND(#REF!,"AAAAAH/99q4=")</f>
        <v>#REF!</v>
      </c>
      <c r="FT15" t="e">
        <f>AND(#REF!,"AAAAAH/99q8=")</f>
        <v>#REF!</v>
      </c>
      <c r="FU15" t="e">
        <f>AND(#REF!,"AAAAAH/99rA=")</f>
        <v>#REF!</v>
      </c>
      <c r="FV15" t="e">
        <f>AND(#REF!,"AAAAAH/99rE=")</f>
        <v>#REF!</v>
      </c>
      <c r="FW15" t="e">
        <f>AND(#REF!,"AAAAAH/99rI=")</f>
        <v>#REF!</v>
      </c>
      <c r="FX15" t="e">
        <f>AND(#REF!,"AAAAAH/99rM=")</f>
        <v>#REF!</v>
      </c>
      <c r="FY15" t="e">
        <f>AND(#REF!,"AAAAAH/99rQ=")</f>
        <v>#REF!</v>
      </c>
      <c r="FZ15" t="e">
        <f>AND(#REF!,"AAAAAH/99rU=")</f>
        <v>#REF!</v>
      </c>
      <c r="GA15" t="e">
        <f>AND(#REF!,"AAAAAH/99rY=")</f>
        <v>#REF!</v>
      </c>
      <c r="GB15" t="e">
        <f>AND(#REF!,"AAAAAH/99rc=")</f>
        <v>#REF!</v>
      </c>
      <c r="GC15" t="e">
        <f>AND(#REF!,"AAAAAH/99rg=")</f>
        <v>#REF!</v>
      </c>
      <c r="GD15" t="e">
        <f>AND(#REF!,"AAAAAH/99rk=")</f>
        <v>#REF!</v>
      </c>
      <c r="GE15" t="e">
        <f>AND(#REF!,"AAAAAH/99ro=")</f>
        <v>#REF!</v>
      </c>
      <c r="GF15" t="e">
        <f>AND(#REF!,"AAAAAH/99rs=")</f>
        <v>#REF!</v>
      </c>
      <c r="GG15" t="e">
        <f>AND(#REF!,"AAAAAH/99rw=")</f>
        <v>#REF!</v>
      </c>
      <c r="GH15" t="e">
        <f>AND(#REF!,"AAAAAH/99r0=")</f>
        <v>#REF!</v>
      </c>
      <c r="GI15" t="e">
        <f>AND(#REF!,"AAAAAH/99r4=")</f>
        <v>#REF!</v>
      </c>
      <c r="GJ15" t="e">
        <f>AND(#REF!,"AAAAAH/99r8=")</f>
        <v>#REF!</v>
      </c>
      <c r="GK15" t="e">
        <f>IF(#REF!,"AAAAAH/99sA=",0)</f>
        <v>#REF!</v>
      </c>
      <c r="GL15" t="e">
        <f>AND(#REF!,"AAAAAH/99sE=")</f>
        <v>#REF!</v>
      </c>
      <c r="GM15" t="e">
        <f>AND(#REF!,"AAAAAH/99sI=")</f>
        <v>#REF!</v>
      </c>
      <c r="GN15" t="e">
        <f>AND(#REF!,"AAAAAH/99sM=")</f>
        <v>#REF!</v>
      </c>
      <c r="GO15" t="e">
        <f>AND(#REF!,"AAAAAH/99sQ=")</f>
        <v>#REF!</v>
      </c>
      <c r="GP15" t="e">
        <f>AND(#REF!,"AAAAAH/99sU=")</f>
        <v>#REF!</v>
      </c>
      <c r="GQ15" t="e">
        <f>AND(#REF!,"AAAAAH/99sY=")</f>
        <v>#REF!</v>
      </c>
      <c r="GR15" t="e">
        <f>AND(#REF!,"AAAAAH/99sc=")</f>
        <v>#REF!</v>
      </c>
      <c r="GS15" t="e">
        <f>AND(#REF!,"AAAAAH/99sg=")</f>
        <v>#REF!</v>
      </c>
      <c r="GT15" t="e">
        <f>AND(#REF!,"AAAAAH/99sk=")</f>
        <v>#REF!</v>
      </c>
      <c r="GU15" t="e">
        <f>AND(#REF!,"AAAAAH/99so=")</f>
        <v>#REF!</v>
      </c>
      <c r="GV15" t="e">
        <f>AND(#REF!,"AAAAAH/99ss=")</f>
        <v>#REF!</v>
      </c>
      <c r="GW15" t="e">
        <f>AND(#REF!,"AAAAAH/99sw=")</f>
        <v>#REF!</v>
      </c>
      <c r="GX15" t="e">
        <f>AND(#REF!,"AAAAAH/99s0=")</f>
        <v>#REF!</v>
      </c>
      <c r="GY15" t="e">
        <f>AND(#REF!,"AAAAAH/99s4=")</f>
        <v>#REF!</v>
      </c>
      <c r="GZ15" t="e">
        <f>AND(#REF!,"AAAAAH/99s8=")</f>
        <v>#REF!</v>
      </c>
      <c r="HA15" t="e">
        <f>AND(#REF!,"AAAAAH/99tA=")</f>
        <v>#REF!</v>
      </c>
      <c r="HB15" t="e">
        <f>AND(#REF!,"AAAAAH/99tE=")</f>
        <v>#REF!</v>
      </c>
      <c r="HC15" t="e">
        <f>AND(#REF!,"AAAAAH/99tI=")</f>
        <v>#REF!</v>
      </c>
      <c r="HD15" t="e">
        <f>AND(#REF!,"AAAAAH/99tM=")</f>
        <v>#REF!</v>
      </c>
      <c r="HE15" t="e">
        <f>AND(#REF!,"AAAAAH/99tQ=")</f>
        <v>#REF!</v>
      </c>
      <c r="HF15" t="e">
        <f>AND(#REF!,"AAAAAH/99tU=")</f>
        <v>#REF!</v>
      </c>
      <c r="HG15" t="e">
        <f>AND(#REF!,"AAAAAH/99tY=")</f>
        <v>#REF!</v>
      </c>
      <c r="HH15" t="e">
        <f>AND(#REF!,"AAAAAH/99tc=")</f>
        <v>#REF!</v>
      </c>
      <c r="HI15" t="e">
        <f>AND(#REF!,"AAAAAH/99tg=")</f>
        <v>#REF!</v>
      </c>
      <c r="HJ15" t="e">
        <f>AND(#REF!,"AAAAAH/99tk=")</f>
        <v>#REF!</v>
      </c>
      <c r="HK15" t="e">
        <f>AND(#REF!,"AAAAAH/99to=")</f>
        <v>#REF!</v>
      </c>
      <c r="HL15" t="e">
        <f>AND(#REF!,"AAAAAH/99ts=")</f>
        <v>#REF!</v>
      </c>
      <c r="HM15" t="e">
        <f>AND(#REF!,"AAAAAH/99tw=")</f>
        <v>#REF!</v>
      </c>
      <c r="HN15" t="e">
        <f>IF(#REF!,"AAAAAH/99t0=",0)</f>
        <v>#REF!</v>
      </c>
      <c r="HO15" t="e">
        <f>AND(#REF!,"AAAAAH/99t4=")</f>
        <v>#REF!</v>
      </c>
      <c r="HP15" t="e">
        <f>AND(#REF!,"AAAAAH/99t8=")</f>
        <v>#REF!</v>
      </c>
      <c r="HQ15" t="e">
        <f>AND(#REF!,"AAAAAH/99uA=")</f>
        <v>#REF!</v>
      </c>
      <c r="HR15" t="e">
        <f>AND(#REF!,"AAAAAH/99uE=")</f>
        <v>#REF!</v>
      </c>
      <c r="HS15" t="e">
        <f>AND(#REF!,"AAAAAH/99uI=")</f>
        <v>#REF!</v>
      </c>
      <c r="HT15" t="e">
        <f>AND(#REF!,"AAAAAH/99uM=")</f>
        <v>#REF!</v>
      </c>
      <c r="HU15" t="e">
        <f>AND(#REF!,"AAAAAH/99uQ=")</f>
        <v>#REF!</v>
      </c>
      <c r="HV15" t="e">
        <f>AND(#REF!,"AAAAAH/99uU=")</f>
        <v>#REF!</v>
      </c>
      <c r="HW15" t="e">
        <f>AND(#REF!,"AAAAAH/99uY=")</f>
        <v>#REF!</v>
      </c>
      <c r="HX15" t="e">
        <f>AND(#REF!,"AAAAAH/99uc=")</f>
        <v>#REF!</v>
      </c>
      <c r="HY15" t="e">
        <f>AND(#REF!,"AAAAAH/99ug=")</f>
        <v>#REF!</v>
      </c>
      <c r="HZ15" t="e">
        <f>AND(#REF!,"AAAAAH/99uk=")</f>
        <v>#REF!</v>
      </c>
      <c r="IA15" t="e">
        <f>AND(#REF!,"AAAAAH/99uo=")</f>
        <v>#REF!</v>
      </c>
      <c r="IB15" t="e">
        <f>AND(#REF!,"AAAAAH/99us=")</f>
        <v>#REF!</v>
      </c>
      <c r="IC15" t="e">
        <f>AND(#REF!,"AAAAAH/99uw=")</f>
        <v>#REF!</v>
      </c>
      <c r="ID15" t="e">
        <f>AND(#REF!,"AAAAAH/99u0=")</f>
        <v>#REF!</v>
      </c>
      <c r="IE15" t="e">
        <f>AND(#REF!,"AAAAAH/99u4=")</f>
        <v>#REF!</v>
      </c>
      <c r="IF15" t="e">
        <f>AND(#REF!,"AAAAAH/99u8=")</f>
        <v>#REF!</v>
      </c>
      <c r="IG15" t="e">
        <f>AND(#REF!,"AAAAAH/99vA=")</f>
        <v>#REF!</v>
      </c>
      <c r="IH15" t="e">
        <f>AND(#REF!,"AAAAAH/99vE=")</f>
        <v>#REF!</v>
      </c>
      <c r="II15" t="e">
        <f>AND(#REF!,"AAAAAH/99vI=")</f>
        <v>#REF!</v>
      </c>
      <c r="IJ15" t="e">
        <f>AND(#REF!,"AAAAAH/99vM=")</f>
        <v>#REF!</v>
      </c>
      <c r="IK15" t="e">
        <f>AND(#REF!,"AAAAAH/99vQ=")</f>
        <v>#REF!</v>
      </c>
      <c r="IL15" t="e">
        <f>AND(#REF!,"AAAAAH/99vU=")</f>
        <v>#REF!</v>
      </c>
      <c r="IM15" t="e">
        <f>AND(#REF!,"AAAAAH/99vY=")</f>
        <v>#REF!</v>
      </c>
      <c r="IN15" t="e">
        <f>AND(#REF!,"AAAAAH/99vc=")</f>
        <v>#REF!</v>
      </c>
      <c r="IO15" t="e">
        <f>AND(#REF!,"AAAAAH/99vg=")</f>
        <v>#REF!</v>
      </c>
      <c r="IP15" t="e">
        <f>AND(#REF!,"AAAAAH/99vk=")</f>
        <v>#REF!</v>
      </c>
      <c r="IQ15" t="e">
        <f>IF(#REF!,"AAAAAH/99vo=",0)</f>
        <v>#REF!</v>
      </c>
      <c r="IR15" t="e">
        <f>AND(#REF!,"AAAAAH/99vs=")</f>
        <v>#REF!</v>
      </c>
      <c r="IS15" t="e">
        <f>AND(#REF!,"AAAAAH/99vw=")</f>
        <v>#REF!</v>
      </c>
      <c r="IT15" t="e">
        <f>AND(#REF!,"AAAAAH/99v0=")</f>
        <v>#REF!</v>
      </c>
      <c r="IU15" t="e">
        <f>AND(#REF!,"AAAAAH/99v4=")</f>
        <v>#REF!</v>
      </c>
      <c r="IV15" t="e">
        <f>AND(#REF!,"AAAAAH/99v8=")</f>
        <v>#REF!</v>
      </c>
    </row>
    <row r="16" spans="1:256" x14ac:dyDescent="0.2">
      <c r="A16" t="e">
        <f>AND(#REF!,"AAAAAHbdXgA=")</f>
        <v>#REF!</v>
      </c>
      <c r="B16" t="e">
        <f>AND(#REF!,"AAAAAHbdXgE=")</f>
        <v>#REF!</v>
      </c>
      <c r="C16" t="e">
        <f>AND(#REF!,"AAAAAHbdXgI=")</f>
        <v>#REF!</v>
      </c>
      <c r="D16" t="e">
        <f>AND(#REF!,"AAAAAHbdXgM=")</f>
        <v>#REF!</v>
      </c>
      <c r="E16" t="e">
        <f>AND(#REF!,"AAAAAHbdXgQ=")</f>
        <v>#REF!</v>
      </c>
      <c r="F16" t="e">
        <f>AND(#REF!,"AAAAAHbdXgU=")</f>
        <v>#REF!</v>
      </c>
      <c r="G16" t="e">
        <f>AND(#REF!,"AAAAAHbdXgY=")</f>
        <v>#REF!</v>
      </c>
      <c r="H16" t="e">
        <f>AND(#REF!,"AAAAAHbdXgc=")</f>
        <v>#REF!</v>
      </c>
      <c r="I16" t="e">
        <f>AND(#REF!,"AAAAAHbdXgg=")</f>
        <v>#REF!</v>
      </c>
      <c r="J16" t="e">
        <f>AND(#REF!,"AAAAAHbdXgk=")</f>
        <v>#REF!</v>
      </c>
      <c r="K16" t="e">
        <f>AND(#REF!,"AAAAAHbdXgo=")</f>
        <v>#REF!</v>
      </c>
      <c r="L16" t="e">
        <f>AND(#REF!,"AAAAAHbdXgs=")</f>
        <v>#REF!</v>
      </c>
      <c r="M16" t="e">
        <f>AND(#REF!,"AAAAAHbdXgw=")</f>
        <v>#REF!</v>
      </c>
      <c r="N16" t="e">
        <f>AND(#REF!,"AAAAAHbdXg0=")</f>
        <v>#REF!</v>
      </c>
      <c r="O16" t="e">
        <f>AND(#REF!,"AAAAAHbdXg4=")</f>
        <v>#REF!</v>
      </c>
      <c r="P16" t="e">
        <f>AND(#REF!,"AAAAAHbdXg8=")</f>
        <v>#REF!</v>
      </c>
      <c r="Q16" t="e">
        <f>AND(#REF!,"AAAAAHbdXhA=")</f>
        <v>#REF!</v>
      </c>
      <c r="R16" t="e">
        <f>AND(#REF!,"AAAAAHbdXhE=")</f>
        <v>#REF!</v>
      </c>
      <c r="S16" t="e">
        <f>AND(#REF!,"AAAAAHbdXhI=")</f>
        <v>#REF!</v>
      </c>
      <c r="T16" t="e">
        <f>AND(#REF!,"AAAAAHbdXhM=")</f>
        <v>#REF!</v>
      </c>
      <c r="U16" t="e">
        <f>AND(#REF!,"AAAAAHbdXhQ=")</f>
        <v>#REF!</v>
      </c>
      <c r="V16" t="e">
        <f>AND(#REF!,"AAAAAHbdXhU=")</f>
        <v>#REF!</v>
      </c>
      <c r="W16" t="e">
        <f>AND(#REF!,"AAAAAHbdXhY=")</f>
        <v>#REF!</v>
      </c>
      <c r="X16" t="e">
        <f>IF(#REF!,"AAAAAHbdXhc=",0)</f>
        <v>#REF!</v>
      </c>
      <c r="Y16" t="e">
        <f>AND(#REF!,"AAAAAHbdXhg=")</f>
        <v>#REF!</v>
      </c>
      <c r="Z16" t="e">
        <f>AND(#REF!,"AAAAAHbdXhk=")</f>
        <v>#REF!</v>
      </c>
      <c r="AA16" t="e">
        <f>AND(#REF!,"AAAAAHbdXho=")</f>
        <v>#REF!</v>
      </c>
      <c r="AB16" t="e">
        <f>AND(#REF!,"AAAAAHbdXhs=")</f>
        <v>#REF!</v>
      </c>
      <c r="AC16" t="e">
        <f>AND(#REF!,"AAAAAHbdXhw=")</f>
        <v>#REF!</v>
      </c>
      <c r="AD16" t="e">
        <f>AND(#REF!,"AAAAAHbdXh0=")</f>
        <v>#REF!</v>
      </c>
      <c r="AE16" t="e">
        <f>AND(#REF!,"AAAAAHbdXh4=")</f>
        <v>#REF!</v>
      </c>
      <c r="AF16" t="e">
        <f>AND(#REF!,"AAAAAHbdXh8=")</f>
        <v>#REF!</v>
      </c>
      <c r="AG16" t="e">
        <f>AND(#REF!,"AAAAAHbdXiA=")</f>
        <v>#REF!</v>
      </c>
      <c r="AH16" t="e">
        <f>AND(#REF!,"AAAAAHbdXiE=")</f>
        <v>#REF!</v>
      </c>
      <c r="AI16" t="e">
        <f>AND(#REF!,"AAAAAHbdXiI=")</f>
        <v>#REF!</v>
      </c>
      <c r="AJ16" t="e">
        <f>AND(#REF!,"AAAAAHbdXiM=")</f>
        <v>#REF!</v>
      </c>
      <c r="AK16" t="e">
        <f>AND(#REF!,"AAAAAHbdXiQ=")</f>
        <v>#REF!</v>
      </c>
      <c r="AL16" t="e">
        <f>AND(#REF!,"AAAAAHbdXiU=")</f>
        <v>#REF!</v>
      </c>
      <c r="AM16" t="e">
        <f>AND(#REF!,"AAAAAHbdXiY=")</f>
        <v>#REF!</v>
      </c>
      <c r="AN16" t="e">
        <f>AND(#REF!,"AAAAAHbdXic=")</f>
        <v>#REF!</v>
      </c>
      <c r="AO16" t="e">
        <f>AND(#REF!,"AAAAAHbdXig=")</f>
        <v>#REF!</v>
      </c>
      <c r="AP16" t="e">
        <f>AND(#REF!,"AAAAAHbdXik=")</f>
        <v>#REF!</v>
      </c>
      <c r="AQ16" t="e">
        <f>AND(#REF!,"AAAAAHbdXio=")</f>
        <v>#REF!</v>
      </c>
      <c r="AR16" t="e">
        <f>AND(#REF!,"AAAAAHbdXis=")</f>
        <v>#REF!</v>
      </c>
      <c r="AS16" t="e">
        <f>AND(#REF!,"AAAAAHbdXiw=")</f>
        <v>#REF!</v>
      </c>
      <c r="AT16" t="e">
        <f>AND(#REF!,"AAAAAHbdXi0=")</f>
        <v>#REF!</v>
      </c>
      <c r="AU16" t="e">
        <f>AND(#REF!,"AAAAAHbdXi4=")</f>
        <v>#REF!</v>
      </c>
      <c r="AV16" t="e">
        <f>AND(#REF!,"AAAAAHbdXi8=")</f>
        <v>#REF!</v>
      </c>
      <c r="AW16" t="e">
        <f>AND(#REF!,"AAAAAHbdXjA=")</f>
        <v>#REF!</v>
      </c>
      <c r="AX16" t="e">
        <f>AND(#REF!,"AAAAAHbdXjE=")</f>
        <v>#REF!</v>
      </c>
      <c r="AY16" t="e">
        <f>AND(#REF!,"AAAAAHbdXjI=")</f>
        <v>#REF!</v>
      </c>
      <c r="AZ16" t="e">
        <f>AND(#REF!,"AAAAAHbdXjM=")</f>
        <v>#REF!</v>
      </c>
      <c r="BA16" t="e">
        <f>IF(#REF!,"AAAAAHbdXjQ=",0)</f>
        <v>#REF!</v>
      </c>
      <c r="BB16" t="e">
        <f>AND(#REF!,"AAAAAHbdXjU=")</f>
        <v>#REF!</v>
      </c>
      <c r="BC16" t="e">
        <f>AND(#REF!,"AAAAAHbdXjY=")</f>
        <v>#REF!</v>
      </c>
      <c r="BD16" t="e">
        <f>AND(#REF!,"AAAAAHbdXjc=")</f>
        <v>#REF!</v>
      </c>
      <c r="BE16" t="e">
        <f>AND(#REF!,"AAAAAHbdXjg=")</f>
        <v>#REF!</v>
      </c>
      <c r="BF16" t="e">
        <f>AND(#REF!,"AAAAAHbdXjk=")</f>
        <v>#REF!</v>
      </c>
      <c r="BG16" t="e">
        <f>AND(#REF!,"AAAAAHbdXjo=")</f>
        <v>#REF!</v>
      </c>
      <c r="BH16" t="e">
        <f>AND(#REF!,"AAAAAHbdXjs=")</f>
        <v>#REF!</v>
      </c>
      <c r="BI16" t="e">
        <f>AND(#REF!,"AAAAAHbdXjw=")</f>
        <v>#REF!</v>
      </c>
      <c r="BJ16" t="e">
        <f>AND(#REF!,"AAAAAHbdXj0=")</f>
        <v>#REF!</v>
      </c>
      <c r="BK16" t="e">
        <f>AND(#REF!,"AAAAAHbdXj4=")</f>
        <v>#REF!</v>
      </c>
      <c r="BL16" t="e">
        <f>AND(#REF!,"AAAAAHbdXj8=")</f>
        <v>#REF!</v>
      </c>
      <c r="BM16" t="e">
        <f>AND(#REF!,"AAAAAHbdXkA=")</f>
        <v>#REF!</v>
      </c>
      <c r="BN16" t="e">
        <f>AND(#REF!,"AAAAAHbdXkE=")</f>
        <v>#REF!</v>
      </c>
      <c r="BO16" t="e">
        <f>AND(#REF!,"AAAAAHbdXkI=")</f>
        <v>#REF!</v>
      </c>
      <c r="BP16" t="e">
        <f>AND(#REF!,"AAAAAHbdXkM=")</f>
        <v>#REF!</v>
      </c>
      <c r="BQ16" t="e">
        <f>AND(#REF!,"AAAAAHbdXkQ=")</f>
        <v>#REF!</v>
      </c>
      <c r="BR16" t="e">
        <f>AND(#REF!,"AAAAAHbdXkU=")</f>
        <v>#REF!</v>
      </c>
      <c r="BS16" t="e">
        <f>AND(#REF!,"AAAAAHbdXkY=")</f>
        <v>#REF!</v>
      </c>
      <c r="BT16" t="e">
        <f>AND(#REF!,"AAAAAHbdXkc=")</f>
        <v>#REF!</v>
      </c>
      <c r="BU16" t="e">
        <f>AND(#REF!,"AAAAAHbdXkg=")</f>
        <v>#REF!</v>
      </c>
      <c r="BV16" t="e">
        <f>AND(#REF!,"AAAAAHbdXkk=")</f>
        <v>#REF!</v>
      </c>
      <c r="BW16" t="e">
        <f>AND(#REF!,"AAAAAHbdXko=")</f>
        <v>#REF!</v>
      </c>
      <c r="BX16" t="e">
        <f>AND(#REF!,"AAAAAHbdXks=")</f>
        <v>#REF!</v>
      </c>
      <c r="BY16" t="e">
        <f>AND(#REF!,"AAAAAHbdXkw=")</f>
        <v>#REF!</v>
      </c>
      <c r="BZ16" t="e">
        <f>AND(#REF!,"AAAAAHbdXk0=")</f>
        <v>#REF!</v>
      </c>
      <c r="CA16" t="e">
        <f>AND(#REF!,"AAAAAHbdXk4=")</f>
        <v>#REF!</v>
      </c>
      <c r="CB16" t="e">
        <f>AND(#REF!,"AAAAAHbdXk8=")</f>
        <v>#REF!</v>
      </c>
      <c r="CC16" t="e">
        <f>AND(#REF!,"AAAAAHbdXlA=")</f>
        <v>#REF!</v>
      </c>
      <c r="CD16" t="e">
        <f>IF(#REF!,"AAAAAHbdXlE=",0)</f>
        <v>#REF!</v>
      </c>
      <c r="CE16" t="e">
        <f>AND(#REF!,"AAAAAHbdXlI=")</f>
        <v>#REF!</v>
      </c>
      <c r="CF16" t="e">
        <f>AND(#REF!,"AAAAAHbdXlM=")</f>
        <v>#REF!</v>
      </c>
      <c r="CG16" t="e">
        <f>AND(#REF!,"AAAAAHbdXlQ=")</f>
        <v>#REF!</v>
      </c>
      <c r="CH16" t="e">
        <f>AND(#REF!,"AAAAAHbdXlU=")</f>
        <v>#REF!</v>
      </c>
      <c r="CI16" t="e">
        <f>AND(#REF!,"AAAAAHbdXlY=")</f>
        <v>#REF!</v>
      </c>
      <c r="CJ16" t="e">
        <f>AND(#REF!,"AAAAAHbdXlc=")</f>
        <v>#REF!</v>
      </c>
      <c r="CK16" t="e">
        <f>AND(#REF!,"AAAAAHbdXlg=")</f>
        <v>#REF!</v>
      </c>
      <c r="CL16" t="e">
        <f>AND(#REF!,"AAAAAHbdXlk=")</f>
        <v>#REF!</v>
      </c>
      <c r="CM16" t="e">
        <f>AND(#REF!,"AAAAAHbdXlo=")</f>
        <v>#REF!</v>
      </c>
      <c r="CN16" t="e">
        <f>AND(#REF!,"AAAAAHbdXls=")</f>
        <v>#REF!</v>
      </c>
      <c r="CO16" t="e">
        <f>AND(#REF!,"AAAAAHbdXlw=")</f>
        <v>#REF!</v>
      </c>
      <c r="CP16" t="e">
        <f>AND(#REF!,"AAAAAHbdXl0=")</f>
        <v>#REF!</v>
      </c>
      <c r="CQ16" t="e">
        <f>AND(#REF!,"AAAAAHbdXl4=")</f>
        <v>#REF!</v>
      </c>
      <c r="CR16" t="e">
        <f>AND(#REF!,"AAAAAHbdXl8=")</f>
        <v>#REF!</v>
      </c>
      <c r="CS16" t="e">
        <f>AND(#REF!,"AAAAAHbdXmA=")</f>
        <v>#REF!</v>
      </c>
      <c r="CT16" t="e">
        <f>AND(#REF!,"AAAAAHbdXmE=")</f>
        <v>#REF!</v>
      </c>
      <c r="CU16" t="e">
        <f>AND(#REF!,"AAAAAHbdXmI=")</f>
        <v>#REF!</v>
      </c>
      <c r="CV16" t="e">
        <f>AND(#REF!,"AAAAAHbdXmM=")</f>
        <v>#REF!</v>
      </c>
      <c r="CW16" t="e">
        <f>AND(#REF!,"AAAAAHbdXmQ=")</f>
        <v>#REF!</v>
      </c>
      <c r="CX16" t="e">
        <f>AND(#REF!,"AAAAAHbdXmU=")</f>
        <v>#REF!</v>
      </c>
      <c r="CY16" t="e">
        <f>AND(#REF!,"AAAAAHbdXmY=")</f>
        <v>#REF!</v>
      </c>
      <c r="CZ16" t="e">
        <f>AND(#REF!,"AAAAAHbdXmc=")</f>
        <v>#REF!</v>
      </c>
      <c r="DA16" t="e">
        <f>AND(#REF!,"AAAAAHbdXmg=")</f>
        <v>#REF!</v>
      </c>
      <c r="DB16" t="e">
        <f>AND(#REF!,"AAAAAHbdXmk=")</f>
        <v>#REF!</v>
      </c>
      <c r="DC16" t="e">
        <f>AND(#REF!,"AAAAAHbdXmo=")</f>
        <v>#REF!</v>
      </c>
      <c r="DD16" t="e">
        <f>AND(#REF!,"AAAAAHbdXms=")</f>
        <v>#REF!</v>
      </c>
      <c r="DE16" t="e">
        <f>AND(#REF!,"AAAAAHbdXmw=")</f>
        <v>#REF!</v>
      </c>
      <c r="DF16" t="e">
        <f>AND(#REF!,"AAAAAHbdXm0=")</f>
        <v>#REF!</v>
      </c>
      <c r="DG16" t="e">
        <f>IF(#REF!,"AAAAAHbdXm4=",0)</f>
        <v>#REF!</v>
      </c>
      <c r="DH16" t="e">
        <f>AND(#REF!,"AAAAAHbdXm8=")</f>
        <v>#REF!</v>
      </c>
      <c r="DI16" t="e">
        <f>AND(#REF!,"AAAAAHbdXnA=")</f>
        <v>#REF!</v>
      </c>
      <c r="DJ16" t="e">
        <f>AND(#REF!,"AAAAAHbdXnE=")</f>
        <v>#REF!</v>
      </c>
      <c r="DK16" t="e">
        <f>AND(#REF!,"AAAAAHbdXnI=")</f>
        <v>#REF!</v>
      </c>
      <c r="DL16" t="e">
        <f>AND(#REF!,"AAAAAHbdXnM=")</f>
        <v>#REF!</v>
      </c>
      <c r="DM16" t="e">
        <f>AND(#REF!,"AAAAAHbdXnQ=")</f>
        <v>#REF!</v>
      </c>
      <c r="DN16" t="e">
        <f>AND(#REF!,"AAAAAHbdXnU=")</f>
        <v>#REF!</v>
      </c>
      <c r="DO16" t="e">
        <f>AND(#REF!,"AAAAAHbdXnY=")</f>
        <v>#REF!</v>
      </c>
      <c r="DP16" t="e">
        <f>AND(#REF!,"AAAAAHbdXnc=")</f>
        <v>#REF!</v>
      </c>
      <c r="DQ16" t="e">
        <f>AND(#REF!,"AAAAAHbdXng=")</f>
        <v>#REF!</v>
      </c>
      <c r="DR16" t="e">
        <f>AND(#REF!,"AAAAAHbdXnk=")</f>
        <v>#REF!</v>
      </c>
      <c r="DS16" t="e">
        <f>AND(#REF!,"AAAAAHbdXno=")</f>
        <v>#REF!</v>
      </c>
      <c r="DT16" t="e">
        <f>AND(#REF!,"AAAAAHbdXns=")</f>
        <v>#REF!</v>
      </c>
      <c r="DU16" t="e">
        <f>AND(#REF!,"AAAAAHbdXnw=")</f>
        <v>#REF!</v>
      </c>
      <c r="DV16" t="e">
        <f>AND(#REF!,"AAAAAHbdXn0=")</f>
        <v>#REF!</v>
      </c>
      <c r="DW16" t="e">
        <f>AND(#REF!,"AAAAAHbdXn4=")</f>
        <v>#REF!</v>
      </c>
      <c r="DX16" t="e">
        <f>AND(#REF!,"AAAAAHbdXn8=")</f>
        <v>#REF!</v>
      </c>
      <c r="DY16" t="e">
        <f>AND(#REF!,"AAAAAHbdXoA=")</f>
        <v>#REF!</v>
      </c>
      <c r="DZ16" t="e">
        <f>AND(#REF!,"AAAAAHbdXoE=")</f>
        <v>#REF!</v>
      </c>
      <c r="EA16" t="e">
        <f>AND(#REF!,"AAAAAHbdXoI=")</f>
        <v>#REF!</v>
      </c>
      <c r="EB16" t="e">
        <f>AND(#REF!,"AAAAAHbdXoM=")</f>
        <v>#REF!</v>
      </c>
      <c r="EC16" t="e">
        <f>AND(#REF!,"AAAAAHbdXoQ=")</f>
        <v>#REF!</v>
      </c>
      <c r="ED16" t="e">
        <f>AND(#REF!,"AAAAAHbdXoU=")</f>
        <v>#REF!</v>
      </c>
      <c r="EE16" t="e">
        <f>AND(#REF!,"AAAAAHbdXoY=")</f>
        <v>#REF!</v>
      </c>
      <c r="EF16" t="e">
        <f>AND(#REF!,"AAAAAHbdXoc=")</f>
        <v>#REF!</v>
      </c>
      <c r="EG16" t="e">
        <f>AND(#REF!,"AAAAAHbdXog=")</f>
        <v>#REF!</v>
      </c>
      <c r="EH16" t="e">
        <f>AND(#REF!,"AAAAAHbdXok=")</f>
        <v>#REF!</v>
      </c>
      <c r="EI16" t="e">
        <f>AND(#REF!,"AAAAAHbdXoo=")</f>
        <v>#REF!</v>
      </c>
      <c r="EJ16" t="e">
        <f>IF(#REF!,"AAAAAHbdXos=",0)</f>
        <v>#REF!</v>
      </c>
      <c r="EK16" t="e">
        <f>AND(#REF!,"AAAAAHbdXow=")</f>
        <v>#REF!</v>
      </c>
      <c r="EL16" t="e">
        <f>AND(#REF!,"AAAAAHbdXo0=")</f>
        <v>#REF!</v>
      </c>
      <c r="EM16" t="e">
        <f>AND(#REF!,"AAAAAHbdXo4=")</f>
        <v>#REF!</v>
      </c>
      <c r="EN16" t="e">
        <f>AND(#REF!,"AAAAAHbdXo8=")</f>
        <v>#REF!</v>
      </c>
      <c r="EO16" t="e">
        <f>AND(#REF!,"AAAAAHbdXpA=")</f>
        <v>#REF!</v>
      </c>
      <c r="EP16" t="e">
        <f>AND(#REF!,"AAAAAHbdXpE=")</f>
        <v>#REF!</v>
      </c>
      <c r="EQ16" t="e">
        <f>AND(#REF!,"AAAAAHbdXpI=")</f>
        <v>#REF!</v>
      </c>
      <c r="ER16" t="e">
        <f>AND(#REF!,"AAAAAHbdXpM=")</f>
        <v>#REF!</v>
      </c>
      <c r="ES16" t="e">
        <f>AND(#REF!,"AAAAAHbdXpQ=")</f>
        <v>#REF!</v>
      </c>
      <c r="ET16" t="e">
        <f>AND(#REF!,"AAAAAHbdXpU=")</f>
        <v>#REF!</v>
      </c>
      <c r="EU16" t="e">
        <f>AND(#REF!,"AAAAAHbdXpY=")</f>
        <v>#REF!</v>
      </c>
      <c r="EV16" t="e">
        <f>AND(#REF!,"AAAAAHbdXpc=")</f>
        <v>#REF!</v>
      </c>
      <c r="EW16" t="e">
        <f>AND(#REF!,"AAAAAHbdXpg=")</f>
        <v>#REF!</v>
      </c>
      <c r="EX16" t="e">
        <f>AND(#REF!,"AAAAAHbdXpk=")</f>
        <v>#REF!</v>
      </c>
      <c r="EY16" t="e">
        <f>AND(#REF!,"AAAAAHbdXpo=")</f>
        <v>#REF!</v>
      </c>
      <c r="EZ16" t="e">
        <f>AND(#REF!,"AAAAAHbdXps=")</f>
        <v>#REF!</v>
      </c>
      <c r="FA16" t="e">
        <f>AND(#REF!,"AAAAAHbdXpw=")</f>
        <v>#REF!</v>
      </c>
      <c r="FB16" t="e">
        <f>AND(#REF!,"AAAAAHbdXp0=")</f>
        <v>#REF!</v>
      </c>
      <c r="FC16" t="e">
        <f>AND(#REF!,"AAAAAHbdXp4=")</f>
        <v>#REF!</v>
      </c>
      <c r="FD16" t="e">
        <f>AND(#REF!,"AAAAAHbdXp8=")</f>
        <v>#REF!</v>
      </c>
      <c r="FE16" t="e">
        <f>AND(#REF!,"AAAAAHbdXqA=")</f>
        <v>#REF!</v>
      </c>
      <c r="FF16" t="e">
        <f>AND(#REF!,"AAAAAHbdXqE=")</f>
        <v>#REF!</v>
      </c>
      <c r="FG16" t="e">
        <f>AND(#REF!,"AAAAAHbdXqI=")</f>
        <v>#REF!</v>
      </c>
      <c r="FH16" t="e">
        <f>AND(#REF!,"AAAAAHbdXqM=")</f>
        <v>#REF!</v>
      </c>
      <c r="FI16" t="e">
        <f>AND(#REF!,"AAAAAHbdXqQ=")</f>
        <v>#REF!</v>
      </c>
      <c r="FJ16" t="e">
        <f>AND(#REF!,"AAAAAHbdXqU=")</f>
        <v>#REF!</v>
      </c>
      <c r="FK16" t="e">
        <f>AND(#REF!,"AAAAAHbdXqY=")</f>
        <v>#REF!</v>
      </c>
      <c r="FL16" t="e">
        <f>AND(#REF!,"AAAAAHbdXqc=")</f>
        <v>#REF!</v>
      </c>
      <c r="FM16" t="e">
        <f>IF(#REF!,"AAAAAHbdXqg=",0)</f>
        <v>#REF!</v>
      </c>
      <c r="FN16" t="e">
        <f>AND(#REF!,"AAAAAHbdXqk=")</f>
        <v>#REF!</v>
      </c>
      <c r="FO16" t="e">
        <f>AND(#REF!,"AAAAAHbdXqo=")</f>
        <v>#REF!</v>
      </c>
      <c r="FP16" t="e">
        <f>AND(#REF!,"AAAAAHbdXqs=")</f>
        <v>#REF!</v>
      </c>
      <c r="FQ16" t="e">
        <f>AND(#REF!,"AAAAAHbdXqw=")</f>
        <v>#REF!</v>
      </c>
      <c r="FR16" t="e">
        <f>AND(#REF!,"AAAAAHbdXq0=")</f>
        <v>#REF!</v>
      </c>
      <c r="FS16" t="e">
        <f>AND(#REF!,"AAAAAHbdXq4=")</f>
        <v>#REF!</v>
      </c>
      <c r="FT16" t="e">
        <f>AND(#REF!,"AAAAAHbdXq8=")</f>
        <v>#REF!</v>
      </c>
      <c r="FU16" t="e">
        <f>AND(#REF!,"AAAAAHbdXrA=")</f>
        <v>#REF!</v>
      </c>
      <c r="FV16" t="e">
        <f>AND(#REF!,"AAAAAHbdXrE=")</f>
        <v>#REF!</v>
      </c>
      <c r="FW16" t="e">
        <f>AND(#REF!,"AAAAAHbdXrI=")</f>
        <v>#REF!</v>
      </c>
      <c r="FX16" t="e">
        <f>AND(#REF!,"AAAAAHbdXrM=")</f>
        <v>#REF!</v>
      </c>
      <c r="FY16" t="e">
        <f>AND(#REF!,"AAAAAHbdXrQ=")</f>
        <v>#REF!</v>
      </c>
      <c r="FZ16" t="e">
        <f>AND(#REF!,"AAAAAHbdXrU=")</f>
        <v>#REF!</v>
      </c>
      <c r="GA16" t="e">
        <f>AND(#REF!,"AAAAAHbdXrY=")</f>
        <v>#REF!</v>
      </c>
      <c r="GB16" t="e">
        <f>AND(#REF!,"AAAAAHbdXrc=")</f>
        <v>#REF!</v>
      </c>
      <c r="GC16" t="e">
        <f>AND(#REF!,"AAAAAHbdXrg=")</f>
        <v>#REF!</v>
      </c>
      <c r="GD16" t="e">
        <f>AND(#REF!,"AAAAAHbdXrk=")</f>
        <v>#REF!</v>
      </c>
      <c r="GE16" t="e">
        <f>AND(#REF!,"AAAAAHbdXro=")</f>
        <v>#REF!</v>
      </c>
      <c r="GF16" t="e">
        <f>AND(#REF!,"AAAAAHbdXrs=")</f>
        <v>#REF!</v>
      </c>
      <c r="GG16" t="e">
        <f>AND(#REF!,"AAAAAHbdXrw=")</f>
        <v>#REF!</v>
      </c>
      <c r="GH16" t="e">
        <f>AND(#REF!,"AAAAAHbdXr0=")</f>
        <v>#REF!</v>
      </c>
      <c r="GI16" t="e">
        <f>AND(#REF!,"AAAAAHbdXr4=")</f>
        <v>#REF!</v>
      </c>
      <c r="GJ16" t="e">
        <f>AND(#REF!,"AAAAAHbdXr8=")</f>
        <v>#REF!</v>
      </c>
      <c r="GK16" t="e">
        <f>AND(#REF!,"AAAAAHbdXsA=")</f>
        <v>#REF!</v>
      </c>
      <c r="GL16" t="e">
        <f>AND(#REF!,"AAAAAHbdXsE=")</f>
        <v>#REF!</v>
      </c>
      <c r="GM16" t="e">
        <f>AND(#REF!,"AAAAAHbdXsI=")</f>
        <v>#REF!</v>
      </c>
      <c r="GN16" t="e">
        <f>AND(#REF!,"AAAAAHbdXsM=")</f>
        <v>#REF!</v>
      </c>
      <c r="GO16" t="e">
        <f>AND(#REF!,"AAAAAHbdXsQ=")</f>
        <v>#REF!</v>
      </c>
      <c r="GP16" t="e">
        <f>IF(#REF!,"AAAAAHbdXsU=",0)</f>
        <v>#REF!</v>
      </c>
      <c r="GQ16" t="e">
        <f>AND(#REF!,"AAAAAHbdXsY=")</f>
        <v>#REF!</v>
      </c>
      <c r="GR16" t="e">
        <f>AND(#REF!,"AAAAAHbdXsc=")</f>
        <v>#REF!</v>
      </c>
      <c r="GS16" t="e">
        <f>AND(#REF!,"AAAAAHbdXsg=")</f>
        <v>#REF!</v>
      </c>
      <c r="GT16" t="e">
        <f>AND(#REF!,"AAAAAHbdXsk=")</f>
        <v>#REF!</v>
      </c>
      <c r="GU16" t="e">
        <f>AND(#REF!,"AAAAAHbdXso=")</f>
        <v>#REF!</v>
      </c>
      <c r="GV16" t="e">
        <f>AND(#REF!,"AAAAAHbdXss=")</f>
        <v>#REF!</v>
      </c>
      <c r="GW16" t="e">
        <f>AND(#REF!,"AAAAAHbdXsw=")</f>
        <v>#REF!</v>
      </c>
      <c r="GX16" t="e">
        <f>AND(#REF!,"AAAAAHbdXs0=")</f>
        <v>#REF!</v>
      </c>
      <c r="GY16" t="e">
        <f>AND(#REF!,"AAAAAHbdXs4=")</f>
        <v>#REF!</v>
      </c>
      <c r="GZ16" t="e">
        <f>AND(#REF!,"AAAAAHbdXs8=")</f>
        <v>#REF!</v>
      </c>
      <c r="HA16" t="e">
        <f>AND(#REF!,"AAAAAHbdXtA=")</f>
        <v>#REF!</v>
      </c>
      <c r="HB16" t="e">
        <f>AND(#REF!,"AAAAAHbdXtE=")</f>
        <v>#REF!</v>
      </c>
      <c r="HC16" t="e">
        <f>AND(#REF!,"AAAAAHbdXtI=")</f>
        <v>#REF!</v>
      </c>
      <c r="HD16" t="e">
        <f>AND(#REF!,"AAAAAHbdXtM=")</f>
        <v>#REF!</v>
      </c>
      <c r="HE16" t="e">
        <f>AND(#REF!,"AAAAAHbdXtQ=")</f>
        <v>#REF!</v>
      </c>
      <c r="HF16" t="e">
        <f>AND(#REF!,"AAAAAHbdXtU=")</f>
        <v>#REF!</v>
      </c>
      <c r="HG16" t="e">
        <f>AND(#REF!,"AAAAAHbdXtY=")</f>
        <v>#REF!</v>
      </c>
      <c r="HH16" t="e">
        <f>AND(#REF!,"AAAAAHbdXtc=")</f>
        <v>#REF!</v>
      </c>
      <c r="HI16" t="e">
        <f>AND(#REF!,"AAAAAHbdXtg=")</f>
        <v>#REF!</v>
      </c>
      <c r="HJ16" t="e">
        <f>AND(#REF!,"AAAAAHbdXtk=")</f>
        <v>#REF!</v>
      </c>
      <c r="HK16" t="e">
        <f>AND(#REF!,"AAAAAHbdXto=")</f>
        <v>#REF!</v>
      </c>
      <c r="HL16" t="e">
        <f>AND(#REF!,"AAAAAHbdXts=")</f>
        <v>#REF!</v>
      </c>
      <c r="HM16" t="e">
        <f>AND(#REF!,"AAAAAHbdXtw=")</f>
        <v>#REF!</v>
      </c>
      <c r="HN16" t="e">
        <f>AND(#REF!,"AAAAAHbdXt0=")</f>
        <v>#REF!</v>
      </c>
      <c r="HO16" t="e">
        <f>AND(#REF!,"AAAAAHbdXt4=")</f>
        <v>#REF!</v>
      </c>
      <c r="HP16" t="e">
        <f>AND(#REF!,"AAAAAHbdXt8=")</f>
        <v>#REF!</v>
      </c>
      <c r="HQ16" t="e">
        <f>AND(#REF!,"AAAAAHbdXuA=")</f>
        <v>#REF!</v>
      </c>
      <c r="HR16" t="e">
        <f>AND(#REF!,"AAAAAHbdXuE=")</f>
        <v>#REF!</v>
      </c>
      <c r="HS16" t="e">
        <f>IF(#REF!,"AAAAAHbdXuI=",0)</f>
        <v>#REF!</v>
      </c>
      <c r="HT16" t="e">
        <f>AND(#REF!,"AAAAAHbdXuM=")</f>
        <v>#REF!</v>
      </c>
      <c r="HU16" t="e">
        <f>AND(#REF!,"AAAAAHbdXuQ=")</f>
        <v>#REF!</v>
      </c>
      <c r="HV16" t="e">
        <f>AND(#REF!,"AAAAAHbdXuU=")</f>
        <v>#REF!</v>
      </c>
      <c r="HW16" t="e">
        <f>AND(#REF!,"AAAAAHbdXuY=")</f>
        <v>#REF!</v>
      </c>
      <c r="HX16" t="e">
        <f>AND(#REF!,"AAAAAHbdXuc=")</f>
        <v>#REF!</v>
      </c>
      <c r="HY16" t="e">
        <f>AND(#REF!,"AAAAAHbdXug=")</f>
        <v>#REF!</v>
      </c>
      <c r="HZ16" t="e">
        <f>AND(#REF!,"AAAAAHbdXuk=")</f>
        <v>#REF!</v>
      </c>
      <c r="IA16" t="e">
        <f>AND(#REF!,"AAAAAHbdXuo=")</f>
        <v>#REF!</v>
      </c>
      <c r="IB16" t="e">
        <f>AND(#REF!,"AAAAAHbdXus=")</f>
        <v>#REF!</v>
      </c>
      <c r="IC16" t="e">
        <f>AND(#REF!,"AAAAAHbdXuw=")</f>
        <v>#REF!</v>
      </c>
      <c r="ID16" t="e">
        <f>AND(#REF!,"AAAAAHbdXu0=")</f>
        <v>#REF!</v>
      </c>
      <c r="IE16" t="e">
        <f>AND(#REF!,"AAAAAHbdXu4=")</f>
        <v>#REF!</v>
      </c>
      <c r="IF16" t="e">
        <f>AND(#REF!,"AAAAAHbdXu8=")</f>
        <v>#REF!</v>
      </c>
      <c r="IG16" t="e">
        <f>AND(#REF!,"AAAAAHbdXvA=")</f>
        <v>#REF!</v>
      </c>
      <c r="IH16" t="e">
        <f>AND(#REF!,"AAAAAHbdXvE=")</f>
        <v>#REF!</v>
      </c>
      <c r="II16" t="e">
        <f>AND(#REF!,"AAAAAHbdXvI=")</f>
        <v>#REF!</v>
      </c>
      <c r="IJ16" t="e">
        <f>AND(#REF!,"AAAAAHbdXvM=")</f>
        <v>#REF!</v>
      </c>
      <c r="IK16" t="e">
        <f>AND(#REF!,"AAAAAHbdXvQ=")</f>
        <v>#REF!</v>
      </c>
      <c r="IL16" t="e">
        <f>AND(#REF!,"AAAAAHbdXvU=")</f>
        <v>#REF!</v>
      </c>
      <c r="IM16" t="e">
        <f>AND(#REF!,"AAAAAHbdXvY=")</f>
        <v>#REF!</v>
      </c>
      <c r="IN16" t="e">
        <f>AND(#REF!,"AAAAAHbdXvc=")</f>
        <v>#REF!</v>
      </c>
      <c r="IO16" t="e">
        <f>AND(#REF!,"AAAAAHbdXvg=")</f>
        <v>#REF!</v>
      </c>
      <c r="IP16" t="e">
        <f>AND(#REF!,"AAAAAHbdXvk=")</f>
        <v>#REF!</v>
      </c>
      <c r="IQ16" t="e">
        <f>AND(#REF!,"AAAAAHbdXvo=")</f>
        <v>#REF!</v>
      </c>
      <c r="IR16" t="e">
        <f>AND(#REF!,"AAAAAHbdXvs=")</f>
        <v>#REF!</v>
      </c>
      <c r="IS16" t="e">
        <f>AND(#REF!,"AAAAAHbdXvw=")</f>
        <v>#REF!</v>
      </c>
      <c r="IT16" t="e">
        <f>AND(#REF!,"AAAAAHbdXv0=")</f>
        <v>#REF!</v>
      </c>
      <c r="IU16" t="e">
        <f>AND(#REF!,"AAAAAHbdXv4=")</f>
        <v>#REF!</v>
      </c>
      <c r="IV16" t="e">
        <f>IF(#REF!,"AAAAAHbdXv8=",0)</f>
        <v>#REF!</v>
      </c>
    </row>
    <row r="17" spans="1:256" x14ac:dyDescent="0.2">
      <c r="A17" t="e">
        <f>AND(#REF!,"AAAAACPt3wA=")</f>
        <v>#REF!</v>
      </c>
      <c r="B17" t="e">
        <f>AND(#REF!,"AAAAACPt3wE=")</f>
        <v>#REF!</v>
      </c>
      <c r="C17" t="e">
        <f>AND(#REF!,"AAAAACPt3wI=")</f>
        <v>#REF!</v>
      </c>
      <c r="D17" t="e">
        <f>AND(#REF!,"AAAAACPt3wM=")</f>
        <v>#REF!</v>
      </c>
      <c r="E17" t="e">
        <f>AND(#REF!,"AAAAACPt3wQ=")</f>
        <v>#REF!</v>
      </c>
      <c r="F17" t="e">
        <f>AND(#REF!,"AAAAACPt3wU=")</f>
        <v>#REF!</v>
      </c>
      <c r="G17" t="e">
        <f>AND(#REF!,"AAAAACPt3wY=")</f>
        <v>#REF!</v>
      </c>
      <c r="H17" t="e">
        <f>AND(#REF!,"AAAAACPt3wc=")</f>
        <v>#REF!</v>
      </c>
      <c r="I17" t="e">
        <f>AND(#REF!,"AAAAACPt3wg=")</f>
        <v>#REF!</v>
      </c>
      <c r="J17" t="e">
        <f>AND(#REF!,"AAAAACPt3wk=")</f>
        <v>#REF!</v>
      </c>
      <c r="K17" t="e">
        <f>AND(#REF!,"AAAAACPt3wo=")</f>
        <v>#REF!</v>
      </c>
      <c r="L17" t="e">
        <f>AND(#REF!,"AAAAACPt3ws=")</f>
        <v>#REF!</v>
      </c>
      <c r="M17" t="e">
        <f>AND(#REF!,"AAAAACPt3ww=")</f>
        <v>#REF!</v>
      </c>
      <c r="N17" t="e">
        <f>AND(#REF!,"AAAAACPt3w0=")</f>
        <v>#REF!</v>
      </c>
      <c r="O17" t="e">
        <f>AND(#REF!,"AAAAACPt3w4=")</f>
        <v>#REF!</v>
      </c>
      <c r="P17" t="e">
        <f>AND(#REF!,"AAAAACPt3w8=")</f>
        <v>#REF!</v>
      </c>
      <c r="Q17" t="e">
        <f>AND(#REF!,"AAAAACPt3xA=")</f>
        <v>#REF!</v>
      </c>
      <c r="R17" t="e">
        <f>AND(#REF!,"AAAAACPt3xE=")</f>
        <v>#REF!</v>
      </c>
      <c r="S17" t="e">
        <f>AND(#REF!,"AAAAACPt3xI=")</f>
        <v>#REF!</v>
      </c>
      <c r="T17" t="e">
        <f>AND(#REF!,"AAAAACPt3xM=")</f>
        <v>#REF!</v>
      </c>
      <c r="U17" t="e">
        <f>AND(#REF!,"AAAAACPt3xQ=")</f>
        <v>#REF!</v>
      </c>
      <c r="V17" t="e">
        <f>AND(#REF!,"AAAAACPt3xU=")</f>
        <v>#REF!</v>
      </c>
      <c r="W17" t="e">
        <f>AND(#REF!,"AAAAACPt3xY=")</f>
        <v>#REF!</v>
      </c>
      <c r="X17" t="e">
        <f>AND(#REF!,"AAAAACPt3xc=")</f>
        <v>#REF!</v>
      </c>
      <c r="Y17" t="e">
        <f>AND(#REF!,"AAAAACPt3xg=")</f>
        <v>#REF!</v>
      </c>
      <c r="Z17" t="e">
        <f>AND(#REF!,"AAAAACPt3xk=")</f>
        <v>#REF!</v>
      </c>
      <c r="AA17" t="e">
        <f>AND(#REF!,"AAAAACPt3xo=")</f>
        <v>#REF!</v>
      </c>
      <c r="AB17" t="e">
        <f>AND(#REF!,"AAAAACPt3xs=")</f>
        <v>#REF!</v>
      </c>
      <c r="AC17" t="e">
        <f>IF(#REF!,"AAAAACPt3xw=",0)</f>
        <v>#REF!</v>
      </c>
      <c r="AD17" t="e">
        <f>AND(#REF!,"AAAAACPt3x0=")</f>
        <v>#REF!</v>
      </c>
      <c r="AE17" t="e">
        <f>AND(#REF!,"AAAAACPt3x4=")</f>
        <v>#REF!</v>
      </c>
      <c r="AF17" t="e">
        <f>AND(#REF!,"AAAAACPt3x8=")</f>
        <v>#REF!</v>
      </c>
      <c r="AG17" t="e">
        <f>AND(#REF!,"AAAAACPt3yA=")</f>
        <v>#REF!</v>
      </c>
      <c r="AH17" t="e">
        <f>AND(#REF!,"AAAAACPt3yE=")</f>
        <v>#REF!</v>
      </c>
      <c r="AI17" t="e">
        <f>AND(#REF!,"AAAAACPt3yI=")</f>
        <v>#REF!</v>
      </c>
      <c r="AJ17" t="e">
        <f>AND(#REF!,"AAAAACPt3yM=")</f>
        <v>#REF!</v>
      </c>
      <c r="AK17" t="e">
        <f>AND(#REF!,"AAAAACPt3yQ=")</f>
        <v>#REF!</v>
      </c>
      <c r="AL17" t="e">
        <f>AND(#REF!,"AAAAACPt3yU=")</f>
        <v>#REF!</v>
      </c>
      <c r="AM17" t="e">
        <f>AND(#REF!,"AAAAACPt3yY=")</f>
        <v>#REF!</v>
      </c>
      <c r="AN17" t="e">
        <f>AND(#REF!,"AAAAACPt3yc=")</f>
        <v>#REF!</v>
      </c>
      <c r="AO17" t="e">
        <f>AND(#REF!,"AAAAACPt3yg=")</f>
        <v>#REF!</v>
      </c>
      <c r="AP17" t="e">
        <f>AND(#REF!,"AAAAACPt3yk=")</f>
        <v>#REF!</v>
      </c>
      <c r="AQ17" t="e">
        <f>AND(#REF!,"AAAAACPt3yo=")</f>
        <v>#REF!</v>
      </c>
      <c r="AR17" t="e">
        <f>AND(#REF!,"AAAAACPt3ys=")</f>
        <v>#REF!</v>
      </c>
      <c r="AS17" t="e">
        <f>AND(#REF!,"AAAAACPt3yw=")</f>
        <v>#REF!</v>
      </c>
      <c r="AT17" t="e">
        <f>AND(#REF!,"AAAAACPt3y0=")</f>
        <v>#REF!</v>
      </c>
      <c r="AU17" t="e">
        <f>AND(#REF!,"AAAAACPt3y4=")</f>
        <v>#REF!</v>
      </c>
      <c r="AV17" t="e">
        <f>AND(#REF!,"AAAAACPt3y8=")</f>
        <v>#REF!</v>
      </c>
      <c r="AW17" t="e">
        <f>AND(#REF!,"AAAAACPt3zA=")</f>
        <v>#REF!</v>
      </c>
      <c r="AX17" t="e">
        <f>AND(#REF!,"AAAAACPt3zE=")</f>
        <v>#REF!</v>
      </c>
      <c r="AY17" t="e">
        <f>AND(#REF!,"AAAAACPt3zI=")</f>
        <v>#REF!</v>
      </c>
      <c r="AZ17" t="e">
        <f>AND(#REF!,"AAAAACPt3zM=")</f>
        <v>#REF!</v>
      </c>
      <c r="BA17" t="e">
        <f>AND(#REF!,"AAAAACPt3zQ=")</f>
        <v>#REF!</v>
      </c>
      <c r="BB17" t="e">
        <f>AND(#REF!,"AAAAACPt3zU=")</f>
        <v>#REF!</v>
      </c>
      <c r="BC17" t="e">
        <f>AND(#REF!,"AAAAACPt3zY=")</f>
        <v>#REF!</v>
      </c>
      <c r="BD17" t="e">
        <f>AND(#REF!,"AAAAACPt3zc=")</f>
        <v>#REF!</v>
      </c>
      <c r="BE17" t="e">
        <f>AND(#REF!,"AAAAACPt3zg=")</f>
        <v>#REF!</v>
      </c>
      <c r="BF17" t="e">
        <f>IF(#REF!,"AAAAACPt3zk=",0)</f>
        <v>#REF!</v>
      </c>
      <c r="BG17" t="e">
        <f>AND(#REF!,"AAAAACPt3zo=")</f>
        <v>#REF!</v>
      </c>
      <c r="BH17" t="e">
        <f>AND(#REF!,"AAAAACPt3zs=")</f>
        <v>#REF!</v>
      </c>
      <c r="BI17" t="e">
        <f>AND(#REF!,"AAAAACPt3zw=")</f>
        <v>#REF!</v>
      </c>
      <c r="BJ17" t="e">
        <f>AND(#REF!,"AAAAACPt3z0=")</f>
        <v>#REF!</v>
      </c>
      <c r="BK17" t="e">
        <f>AND(#REF!,"AAAAACPt3z4=")</f>
        <v>#REF!</v>
      </c>
      <c r="BL17" t="e">
        <f>AND(#REF!,"AAAAACPt3z8=")</f>
        <v>#REF!</v>
      </c>
      <c r="BM17" t="e">
        <f>AND(#REF!,"AAAAACPt30A=")</f>
        <v>#REF!</v>
      </c>
      <c r="BN17" t="e">
        <f>AND(#REF!,"AAAAACPt30E=")</f>
        <v>#REF!</v>
      </c>
      <c r="BO17" t="e">
        <f>AND(#REF!,"AAAAACPt30I=")</f>
        <v>#REF!</v>
      </c>
      <c r="BP17" t="e">
        <f>AND(#REF!,"AAAAACPt30M=")</f>
        <v>#REF!</v>
      </c>
      <c r="BQ17" t="e">
        <f>AND(#REF!,"AAAAACPt30Q=")</f>
        <v>#REF!</v>
      </c>
      <c r="BR17" t="e">
        <f>AND(#REF!,"AAAAACPt30U=")</f>
        <v>#REF!</v>
      </c>
      <c r="BS17" t="e">
        <f>AND(#REF!,"AAAAACPt30Y=")</f>
        <v>#REF!</v>
      </c>
      <c r="BT17" t="e">
        <f>AND(#REF!,"AAAAACPt30c=")</f>
        <v>#REF!</v>
      </c>
      <c r="BU17" t="e">
        <f>AND(#REF!,"AAAAACPt30g=")</f>
        <v>#REF!</v>
      </c>
      <c r="BV17" t="e">
        <f>AND(#REF!,"AAAAACPt30k=")</f>
        <v>#REF!</v>
      </c>
      <c r="BW17" t="e">
        <f>AND(#REF!,"AAAAACPt30o=")</f>
        <v>#REF!</v>
      </c>
      <c r="BX17" t="e">
        <f>AND(#REF!,"AAAAACPt30s=")</f>
        <v>#REF!</v>
      </c>
      <c r="BY17" t="e">
        <f>AND(#REF!,"AAAAACPt30w=")</f>
        <v>#REF!</v>
      </c>
      <c r="BZ17" t="e">
        <f>AND(#REF!,"AAAAACPt300=")</f>
        <v>#REF!</v>
      </c>
      <c r="CA17" t="e">
        <f>AND(#REF!,"AAAAACPt304=")</f>
        <v>#REF!</v>
      </c>
      <c r="CB17" t="e">
        <f>AND(#REF!,"AAAAACPt308=")</f>
        <v>#REF!</v>
      </c>
      <c r="CC17" t="e">
        <f>AND(#REF!,"AAAAACPt31A=")</f>
        <v>#REF!</v>
      </c>
      <c r="CD17" t="e">
        <f>AND(#REF!,"AAAAACPt31E=")</f>
        <v>#REF!</v>
      </c>
      <c r="CE17" t="e">
        <f>AND(#REF!,"AAAAACPt31I=")</f>
        <v>#REF!</v>
      </c>
      <c r="CF17" t="e">
        <f>AND(#REF!,"AAAAACPt31M=")</f>
        <v>#REF!</v>
      </c>
      <c r="CG17" t="e">
        <f>AND(#REF!,"AAAAACPt31Q=")</f>
        <v>#REF!</v>
      </c>
      <c r="CH17" t="e">
        <f>AND(#REF!,"AAAAACPt31U=")</f>
        <v>#REF!</v>
      </c>
      <c r="CI17" t="e">
        <f>IF(#REF!,"AAAAACPt31Y=",0)</f>
        <v>#REF!</v>
      </c>
      <c r="CJ17" t="e">
        <f>AND(#REF!,"AAAAACPt31c=")</f>
        <v>#REF!</v>
      </c>
      <c r="CK17" t="e">
        <f>AND(#REF!,"AAAAACPt31g=")</f>
        <v>#REF!</v>
      </c>
      <c r="CL17" t="e">
        <f>AND(#REF!,"AAAAACPt31k=")</f>
        <v>#REF!</v>
      </c>
      <c r="CM17" t="e">
        <f>AND(#REF!,"AAAAACPt31o=")</f>
        <v>#REF!</v>
      </c>
      <c r="CN17" t="e">
        <f>AND(#REF!,"AAAAACPt31s=")</f>
        <v>#REF!</v>
      </c>
      <c r="CO17" t="e">
        <f>AND(#REF!,"AAAAACPt31w=")</f>
        <v>#REF!</v>
      </c>
      <c r="CP17" t="e">
        <f>AND(#REF!,"AAAAACPt310=")</f>
        <v>#REF!</v>
      </c>
      <c r="CQ17" t="e">
        <f>AND(#REF!,"AAAAACPt314=")</f>
        <v>#REF!</v>
      </c>
      <c r="CR17" t="e">
        <f>AND(#REF!,"AAAAACPt318=")</f>
        <v>#REF!</v>
      </c>
      <c r="CS17" t="e">
        <f>AND(#REF!,"AAAAACPt32A=")</f>
        <v>#REF!</v>
      </c>
      <c r="CT17" t="e">
        <f>AND(#REF!,"AAAAACPt32E=")</f>
        <v>#REF!</v>
      </c>
      <c r="CU17" t="e">
        <f>AND(#REF!,"AAAAACPt32I=")</f>
        <v>#REF!</v>
      </c>
      <c r="CV17" t="e">
        <f>AND(#REF!,"AAAAACPt32M=")</f>
        <v>#REF!</v>
      </c>
      <c r="CW17" t="e">
        <f>AND(#REF!,"AAAAACPt32Q=")</f>
        <v>#REF!</v>
      </c>
      <c r="CX17" t="e">
        <f>AND(#REF!,"AAAAACPt32U=")</f>
        <v>#REF!</v>
      </c>
      <c r="CY17" t="e">
        <f>AND(#REF!,"AAAAACPt32Y=")</f>
        <v>#REF!</v>
      </c>
      <c r="CZ17" t="e">
        <f>AND(#REF!,"AAAAACPt32c=")</f>
        <v>#REF!</v>
      </c>
      <c r="DA17" t="e">
        <f>AND(#REF!,"AAAAACPt32g=")</f>
        <v>#REF!</v>
      </c>
      <c r="DB17" t="e">
        <f>AND(#REF!,"AAAAACPt32k=")</f>
        <v>#REF!</v>
      </c>
      <c r="DC17" t="e">
        <f>AND(#REF!,"AAAAACPt32o=")</f>
        <v>#REF!</v>
      </c>
      <c r="DD17" t="e">
        <f>AND(#REF!,"AAAAACPt32s=")</f>
        <v>#REF!</v>
      </c>
      <c r="DE17" t="e">
        <f>AND(#REF!,"AAAAACPt32w=")</f>
        <v>#REF!</v>
      </c>
      <c r="DF17" t="e">
        <f>AND(#REF!,"AAAAACPt320=")</f>
        <v>#REF!</v>
      </c>
      <c r="DG17" t="e">
        <f>AND(#REF!,"AAAAACPt324=")</f>
        <v>#REF!</v>
      </c>
      <c r="DH17" t="e">
        <f>AND(#REF!,"AAAAACPt328=")</f>
        <v>#REF!</v>
      </c>
      <c r="DI17" t="e">
        <f>AND(#REF!,"AAAAACPt33A=")</f>
        <v>#REF!</v>
      </c>
      <c r="DJ17" t="e">
        <f>AND(#REF!,"AAAAACPt33E=")</f>
        <v>#REF!</v>
      </c>
      <c r="DK17" t="e">
        <f>AND(#REF!,"AAAAACPt33I=")</f>
        <v>#REF!</v>
      </c>
      <c r="DL17" t="e">
        <f>IF(#REF!,"AAAAACPt33M=",0)</f>
        <v>#REF!</v>
      </c>
      <c r="DM17" t="e">
        <f>AND(#REF!,"AAAAACPt33Q=")</f>
        <v>#REF!</v>
      </c>
      <c r="DN17" t="e">
        <f>AND(#REF!,"AAAAACPt33U=")</f>
        <v>#REF!</v>
      </c>
      <c r="DO17" t="e">
        <f>AND(#REF!,"AAAAACPt33Y=")</f>
        <v>#REF!</v>
      </c>
      <c r="DP17" t="e">
        <f>AND(#REF!,"AAAAACPt33c=")</f>
        <v>#REF!</v>
      </c>
      <c r="DQ17" t="e">
        <f>AND(#REF!,"AAAAACPt33g=")</f>
        <v>#REF!</v>
      </c>
      <c r="DR17" t="e">
        <f>AND(#REF!,"AAAAACPt33k=")</f>
        <v>#REF!</v>
      </c>
      <c r="DS17" t="e">
        <f>AND(#REF!,"AAAAACPt33o=")</f>
        <v>#REF!</v>
      </c>
      <c r="DT17" t="e">
        <f>AND(#REF!,"AAAAACPt33s=")</f>
        <v>#REF!</v>
      </c>
      <c r="DU17" t="e">
        <f>AND(#REF!,"AAAAACPt33w=")</f>
        <v>#REF!</v>
      </c>
      <c r="DV17" t="e">
        <f>AND(#REF!,"AAAAACPt330=")</f>
        <v>#REF!</v>
      </c>
      <c r="DW17" t="e">
        <f>AND(#REF!,"AAAAACPt334=")</f>
        <v>#REF!</v>
      </c>
      <c r="DX17" t="e">
        <f>AND(#REF!,"AAAAACPt338=")</f>
        <v>#REF!</v>
      </c>
      <c r="DY17" t="e">
        <f>AND(#REF!,"AAAAACPt34A=")</f>
        <v>#REF!</v>
      </c>
      <c r="DZ17" t="e">
        <f>AND(#REF!,"AAAAACPt34E=")</f>
        <v>#REF!</v>
      </c>
      <c r="EA17" t="e">
        <f>AND(#REF!,"AAAAACPt34I=")</f>
        <v>#REF!</v>
      </c>
      <c r="EB17" t="e">
        <f>AND(#REF!,"AAAAACPt34M=")</f>
        <v>#REF!</v>
      </c>
      <c r="EC17" t="e">
        <f>AND(#REF!,"AAAAACPt34Q=")</f>
        <v>#REF!</v>
      </c>
      <c r="ED17" t="e">
        <f>AND(#REF!,"AAAAACPt34U=")</f>
        <v>#REF!</v>
      </c>
      <c r="EE17" t="e">
        <f>AND(#REF!,"AAAAACPt34Y=")</f>
        <v>#REF!</v>
      </c>
      <c r="EF17" t="e">
        <f>AND(#REF!,"AAAAACPt34c=")</f>
        <v>#REF!</v>
      </c>
      <c r="EG17" t="e">
        <f>AND(#REF!,"AAAAACPt34g=")</f>
        <v>#REF!</v>
      </c>
      <c r="EH17" t="e">
        <f>AND(#REF!,"AAAAACPt34k=")</f>
        <v>#REF!</v>
      </c>
      <c r="EI17" t="e">
        <f>AND(#REF!,"AAAAACPt34o=")</f>
        <v>#REF!</v>
      </c>
      <c r="EJ17" t="e">
        <f>AND(#REF!,"AAAAACPt34s=")</f>
        <v>#REF!</v>
      </c>
      <c r="EK17" t="e">
        <f>AND(#REF!,"AAAAACPt34w=")</f>
        <v>#REF!</v>
      </c>
      <c r="EL17" t="e">
        <f>AND(#REF!,"AAAAACPt340=")</f>
        <v>#REF!</v>
      </c>
      <c r="EM17" t="e">
        <f>AND(#REF!,"AAAAACPt344=")</f>
        <v>#REF!</v>
      </c>
      <c r="EN17" t="e">
        <f>AND(#REF!,"AAAAACPt348=")</f>
        <v>#REF!</v>
      </c>
      <c r="EO17" t="e">
        <f>IF(#REF!,"AAAAACPt35A=",0)</f>
        <v>#REF!</v>
      </c>
      <c r="EP17" t="e">
        <f>AND(#REF!,"AAAAACPt35E=")</f>
        <v>#REF!</v>
      </c>
      <c r="EQ17" t="e">
        <f>AND(#REF!,"AAAAACPt35I=")</f>
        <v>#REF!</v>
      </c>
      <c r="ER17" t="e">
        <f>AND(#REF!,"AAAAACPt35M=")</f>
        <v>#REF!</v>
      </c>
      <c r="ES17" t="e">
        <f>AND(#REF!,"AAAAACPt35Q=")</f>
        <v>#REF!</v>
      </c>
      <c r="ET17" t="e">
        <f>AND(#REF!,"AAAAACPt35U=")</f>
        <v>#REF!</v>
      </c>
      <c r="EU17" t="e">
        <f>AND(#REF!,"AAAAACPt35Y=")</f>
        <v>#REF!</v>
      </c>
      <c r="EV17" t="e">
        <f>AND(#REF!,"AAAAACPt35c=")</f>
        <v>#REF!</v>
      </c>
      <c r="EW17" t="e">
        <f>AND(#REF!,"AAAAACPt35g=")</f>
        <v>#REF!</v>
      </c>
      <c r="EX17" t="e">
        <f>AND(#REF!,"AAAAACPt35k=")</f>
        <v>#REF!</v>
      </c>
      <c r="EY17" t="e">
        <f>AND(#REF!,"AAAAACPt35o=")</f>
        <v>#REF!</v>
      </c>
      <c r="EZ17" t="e">
        <f>AND(#REF!,"AAAAACPt35s=")</f>
        <v>#REF!</v>
      </c>
      <c r="FA17" t="e">
        <f>AND(#REF!,"AAAAACPt35w=")</f>
        <v>#REF!</v>
      </c>
      <c r="FB17" t="e">
        <f>AND(#REF!,"AAAAACPt350=")</f>
        <v>#REF!</v>
      </c>
      <c r="FC17" t="e">
        <f>AND(#REF!,"AAAAACPt354=")</f>
        <v>#REF!</v>
      </c>
      <c r="FD17" t="e">
        <f>AND(#REF!,"AAAAACPt358=")</f>
        <v>#REF!</v>
      </c>
      <c r="FE17" t="e">
        <f>AND(#REF!,"AAAAACPt36A=")</f>
        <v>#REF!</v>
      </c>
      <c r="FF17" t="e">
        <f>AND(#REF!,"AAAAACPt36E=")</f>
        <v>#REF!</v>
      </c>
      <c r="FG17" t="e">
        <f>AND(#REF!,"AAAAACPt36I=")</f>
        <v>#REF!</v>
      </c>
      <c r="FH17" t="e">
        <f>AND(#REF!,"AAAAACPt36M=")</f>
        <v>#REF!</v>
      </c>
      <c r="FI17" t="e">
        <f>AND(#REF!,"AAAAACPt36Q=")</f>
        <v>#REF!</v>
      </c>
      <c r="FJ17" t="e">
        <f>AND(#REF!,"AAAAACPt36U=")</f>
        <v>#REF!</v>
      </c>
      <c r="FK17" t="e">
        <f>AND(#REF!,"AAAAACPt36Y=")</f>
        <v>#REF!</v>
      </c>
      <c r="FL17" t="e">
        <f>AND(#REF!,"AAAAACPt36c=")</f>
        <v>#REF!</v>
      </c>
      <c r="FM17" t="e">
        <f>AND(#REF!,"AAAAACPt36g=")</f>
        <v>#REF!</v>
      </c>
      <c r="FN17" t="e">
        <f>AND(#REF!,"AAAAACPt36k=")</f>
        <v>#REF!</v>
      </c>
      <c r="FO17" t="e">
        <f>AND(#REF!,"AAAAACPt36o=")</f>
        <v>#REF!</v>
      </c>
      <c r="FP17" t="e">
        <f>AND(#REF!,"AAAAACPt36s=")</f>
        <v>#REF!</v>
      </c>
      <c r="FQ17" t="e">
        <f>AND(#REF!,"AAAAACPt36w=")</f>
        <v>#REF!</v>
      </c>
      <c r="FR17" t="e">
        <f>IF(#REF!,"AAAAACPt360=",0)</f>
        <v>#REF!</v>
      </c>
      <c r="FS17" t="e">
        <f>AND(#REF!,"AAAAACPt364=")</f>
        <v>#REF!</v>
      </c>
      <c r="FT17" t="e">
        <f>AND(#REF!,"AAAAACPt368=")</f>
        <v>#REF!</v>
      </c>
      <c r="FU17" t="e">
        <f>AND(#REF!,"AAAAACPt37A=")</f>
        <v>#REF!</v>
      </c>
      <c r="FV17" t="e">
        <f>AND(#REF!,"AAAAACPt37E=")</f>
        <v>#REF!</v>
      </c>
      <c r="FW17" t="e">
        <f>AND(#REF!,"AAAAACPt37I=")</f>
        <v>#REF!</v>
      </c>
      <c r="FX17" t="e">
        <f>AND(#REF!,"AAAAACPt37M=")</f>
        <v>#REF!</v>
      </c>
      <c r="FY17" t="e">
        <f>AND(#REF!,"AAAAACPt37Q=")</f>
        <v>#REF!</v>
      </c>
      <c r="FZ17" t="e">
        <f>AND(#REF!,"AAAAACPt37U=")</f>
        <v>#REF!</v>
      </c>
      <c r="GA17" t="e">
        <f>AND(#REF!,"AAAAACPt37Y=")</f>
        <v>#REF!</v>
      </c>
      <c r="GB17" t="e">
        <f>AND(#REF!,"AAAAACPt37c=")</f>
        <v>#REF!</v>
      </c>
      <c r="GC17" t="e">
        <f>AND(#REF!,"AAAAACPt37g=")</f>
        <v>#REF!</v>
      </c>
      <c r="GD17" t="e">
        <f>AND(#REF!,"AAAAACPt37k=")</f>
        <v>#REF!</v>
      </c>
      <c r="GE17" t="e">
        <f>AND(#REF!,"AAAAACPt37o=")</f>
        <v>#REF!</v>
      </c>
      <c r="GF17" t="e">
        <f>AND(#REF!,"AAAAACPt37s=")</f>
        <v>#REF!</v>
      </c>
      <c r="GG17" t="e">
        <f>AND(#REF!,"AAAAACPt37w=")</f>
        <v>#REF!</v>
      </c>
      <c r="GH17" t="e">
        <f>AND(#REF!,"AAAAACPt370=")</f>
        <v>#REF!</v>
      </c>
      <c r="GI17" t="e">
        <f>AND(#REF!,"AAAAACPt374=")</f>
        <v>#REF!</v>
      </c>
      <c r="GJ17" t="e">
        <f>AND(#REF!,"AAAAACPt378=")</f>
        <v>#REF!</v>
      </c>
      <c r="GK17" t="e">
        <f>AND(#REF!,"AAAAACPt38A=")</f>
        <v>#REF!</v>
      </c>
      <c r="GL17" t="e">
        <f>AND(#REF!,"AAAAACPt38E=")</f>
        <v>#REF!</v>
      </c>
      <c r="GM17" t="e">
        <f>AND(#REF!,"AAAAACPt38I=")</f>
        <v>#REF!</v>
      </c>
      <c r="GN17" t="e">
        <f>AND(#REF!,"AAAAACPt38M=")</f>
        <v>#REF!</v>
      </c>
      <c r="GO17" t="e">
        <f>AND(#REF!,"AAAAACPt38Q=")</f>
        <v>#REF!</v>
      </c>
      <c r="GP17" t="e">
        <f>AND(#REF!,"AAAAACPt38U=")</f>
        <v>#REF!</v>
      </c>
      <c r="GQ17" t="e">
        <f>AND(#REF!,"AAAAACPt38Y=")</f>
        <v>#REF!</v>
      </c>
      <c r="GR17" t="e">
        <f>AND(#REF!,"AAAAACPt38c=")</f>
        <v>#REF!</v>
      </c>
      <c r="GS17" t="e">
        <f>AND(#REF!,"AAAAACPt38g=")</f>
        <v>#REF!</v>
      </c>
      <c r="GT17" t="e">
        <f>AND(#REF!,"AAAAACPt38k=")</f>
        <v>#REF!</v>
      </c>
      <c r="GU17" t="e">
        <f>IF(#REF!,"AAAAACPt38o=",0)</f>
        <v>#REF!</v>
      </c>
      <c r="GV17" t="e">
        <f>AND(#REF!,"AAAAACPt38s=")</f>
        <v>#REF!</v>
      </c>
      <c r="GW17" t="e">
        <f>AND(#REF!,"AAAAACPt38w=")</f>
        <v>#REF!</v>
      </c>
      <c r="GX17" t="e">
        <f>AND(#REF!,"AAAAACPt380=")</f>
        <v>#REF!</v>
      </c>
      <c r="GY17" t="e">
        <f>AND(#REF!,"AAAAACPt384=")</f>
        <v>#REF!</v>
      </c>
      <c r="GZ17" t="e">
        <f>AND(#REF!,"AAAAACPt388=")</f>
        <v>#REF!</v>
      </c>
      <c r="HA17" t="e">
        <f>AND(#REF!,"AAAAACPt39A=")</f>
        <v>#REF!</v>
      </c>
      <c r="HB17" t="e">
        <f>AND(#REF!,"AAAAACPt39E=")</f>
        <v>#REF!</v>
      </c>
      <c r="HC17" t="e">
        <f>AND(#REF!,"AAAAACPt39I=")</f>
        <v>#REF!</v>
      </c>
      <c r="HD17" t="e">
        <f>AND(#REF!,"AAAAACPt39M=")</f>
        <v>#REF!</v>
      </c>
      <c r="HE17" t="e">
        <f>AND(#REF!,"AAAAACPt39Q=")</f>
        <v>#REF!</v>
      </c>
      <c r="HF17" t="e">
        <f>AND(#REF!,"AAAAACPt39U=")</f>
        <v>#REF!</v>
      </c>
      <c r="HG17" t="e">
        <f>AND(#REF!,"AAAAACPt39Y=")</f>
        <v>#REF!</v>
      </c>
      <c r="HH17" t="e">
        <f>AND(#REF!,"AAAAACPt39c=")</f>
        <v>#REF!</v>
      </c>
      <c r="HI17" t="e">
        <f>AND(#REF!,"AAAAACPt39g=")</f>
        <v>#REF!</v>
      </c>
      <c r="HJ17" t="e">
        <f>AND(#REF!,"AAAAACPt39k=")</f>
        <v>#REF!</v>
      </c>
      <c r="HK17" t="e">
        <f>AND(#REF!,"AAAAACPt39o=")</f>
        <v>#REF!</v>
      </c>
      <c r="HL17" t="e">
        <f>AND(#REF!,"AAAAACPt39s=")</f>
        <v>#REF!</v>
      </c>
      <c r="HM17" t="e">
        <f>AND(#REF!,"AAAAACPt39w=")</f>
        <v>#REF!</v>
      </c>
      <c r="HN17" t="e">
        <f>AND(#REF!,"AAAAACPt390=")</f>
        <v>#REF!</v>
      </c>
      <c r="HO17" t="e">
        <f>AND(#REF!,"AAAAACPt394=")</f>
        <v>#REF!</v>
      </c>
      <c r="HP17" t="e">
        <f>AND(#REF!,"AAAAACPt398=")</f>
        <v>#REF!</v>
      </c>
      <c r="HQ17" t="e">
        <f>AND(#REF!,"AAAAACPt3+A=")</f>
        <v>#REF!</v>
      </c>
      <c r="HR17" t="e">
        <f>AND(#REF!,"AAAAACPt3+E=")</f>
        <v>#REF!</v>
      </c>
      <c r="HS17" t="e">
        <f>AND(#REF!,"AAAAACPt3+I=")</f>
        <v>#REF!</v>
      </c>
      <c r="HT17" t="e">
        <f>AND(#REF!,"AAAAACPt3+M=")</f>
        <v>#REF!</v>
      </c>
      <c r="HU17" t="e">
        <f>AND(#REF!,"AAAAACPt3+Q=")</f>
        <v>#REF!</v>
      </c>
      <c r="HV17" t="e">
        <f>AND(#REF!,"AAAAACPt3+U=")</f>
        <v>#REF!</v>
      </c>
      <c r="HW17" t="e">
        <f>AND(#REF!,"AAAAACPt3+Y=")</f>
        <v>#REF!</v>
      </c>
      <c r="HX17" t="e">
        <f>IF(#REF!,"AAAAACPt3+c=",0)</f>
        <v>#REF!</v>
      </c>
      <c r="HY17" t="e">
        <f>AND(#REF!,"AAAAACPt3+g=")</f>
        <v>#REF!</v>
      </c>
      <c r="HZ17" t="e">
        <f>AND(#REF!,"AAAAACPt3+k=")</f>
        <v>#REF!</v>
      </c>
      <c r="IA17" t="e">
        <f>AND(#REF!,"AAAAACPt3+o=")</f>
        <v>#REF!</v>
      </c>
      <c r="IB17" t="e">
        <f>AND(#REF!,"AAAAACPt3+s=")</f>
        <v>#REF!</v>
      </c>
      <c r="IC17" t="e">
        <f>AND(#REF!,"AAAAACPt3+w=")</f>
        <v>#REF!</v>
      </c>
      <c r="ID17" t="e">
        <f>AND(#REF!,"AAAAACPt3+0=")</f>
        <v>#REF!</v>
      </c>
      <c r="IE17" t="e">
        <f>AND(#REF!,"AAAAACPt3+4=")</f>
        <v>#REF!</v>
      </c>
      <c r="IF17" t="e">
        <f>AND(#REF!,"AAAAACPt3+8=")</f>
        <v>#REF!</v>
      </c>
      <c r="IG17" t="e">
        <f>AND(#REF!,"AAAAACPt3/A=")</f>
        <v>#REF!</v>
      </c>
      <c r="IH17" t="e">
        <f>AND(#REF!,"AAAAACPt3/E=")</f>
        <v>#REF!</v>
      </c>
      <c r="II17" t="e">
        <f>AND(#REF!,"AAAAACPt3/I=")</f>
        <v>#REF!</v>
      </c>
      <c r="IJ17" t="e">
        <f>AND(#REF!,"AAAAACPt3/M=")</f>
        <v>#REF!</v>
      </c>
      <c r="IK17" t="e">
        <f>AND(#REF!,"AAAAACPt3/Q=")</f>
        <v>#REF!</v>
      </c>
      <c r="IL17" t="e">
        <f>AND(#REF!,"AAAAACPt3/U=")</f>
        <v>#REF!</v>
      </c>
      <c r="IM17" t="e">
        <f>AND(#REF!,"AAAAACPt3/Y=")</f>
        <v>#REF!</v>
      </c>
      <c r="IN17" t="e">
        <f>AND(#REF!,"AAAAACPt3/c=")</f>
        <v>#REF!</v>
      </c>
      <c r="IO17" t="e">
        <f>AND(#REF!,"AAAAACPt3/g=")</f>
        <v>#REF!</v>
      </c>
      <c r="IP17" t="e">
        <f>AND(#REF!,"AAAAACPt3/k=")</f>
        <v>#REF!</v>
      </c>
      <c r="IQ17" t="e">
        <f>AND(#REF!,"AAAAACPt3/o=")</f>
        <v>#REF!</v>
      </c>
      <c r="IR17" t="e">
        <f>AND(#REF!,"AAAAACPt3/s=")</f>
        <v>#REF!</v>
      </c>
      <c r="IS17" t="e">
        <f>AND(#REF!,"AAAAACPt3/w=")</f>
        <v>#REF!</v>
      </c>
      <c r="IT17" t="e">
        <f>AND(#REF!,"AAAAACPt3/0=")</f>
        <v>#REF!</v>
      </c>
      <c r="IU17" t="e">
        <f>AND(#REF!,"AAAAACPt3/4=")</f>
        <v>#REF!</v>
      </c>
      <c r="IV17" t="e">
        <f>AND(#REF!,"AAAAACPt3/8=")</f>
        <v>#REF!</v>
      </c>
    </row>
    <row r="18" spans="1:256" x14ac:dyDescent="0.2">
      <c r="A18" t="e">
        <f>AND(#REF!,"AAAAAH/f+wA=")</f>
        <v>#REF!</v>
      </c>
      <c r="B18" t="e">
        <f>AND(#REF!,"AAAAAH/f+wE=")</f>
        <v>#REF!</v>
      </c>
      <c r="C18" t="e">
        <f>AND(#REF!,"AAAAAH/f+wI=")</f>
        <v>#REF!</v>
      </c>
      <c r="D18" t="e">
        <f>AND(#REF!,"AAAAAH/f+wM=")</f>
        <v>#REF!</v>
      </c>
      <c r="E18" t="e">
        <f>IF(#REF!,"AAAAAH/f+wQ=",0)</f>
        <v>#REF!</v>
      </c>
      <c r="F18" t="e">
        <f>AND(#REF!,"AAAAAH/f+wU=")</f>
        <v>#REF!</v>
      </c>
      <c r="G18" t="e">
        <f>AND(#REF!,"AAAAAH/f+wY=")</f>
        <v>#REF!</v>
      </c>
      <c r="H18" t="e">
        <f>AND(#REF!,"AAAAAH/f+wc=")</f>
        <v>#REF!</v>
      </c>
      <c r="I18" t="e">
        <f>AND(#REF!,"AAAAAH/f+wg=")</f>
        <v>#REF!</v>
      </c>
      <c r="J18" t="e">
        <f>AND(#REF!,"AAAAAH/f+wk=")</f>
        <v>#REF!</v>
      </c>
      <c r="K18" t="e">
        <f>AND(#REF!,"AAAAAH/f+wo=")</f>
        <v>#REF!</v>
      </c>
      <c r="L18" t="e">
        <f>AND(#REF!,"AAAAAH/f+ws=")</f>
        <v>#REF!</v>
      </c>
      <c r="M18" t="e">
        <f>AND(#REF!,"AAAAAH/f+ww=")</f>
        <v>#REF!</v>
      </c>
      <c r="N18" t="e">
        <f>AND(#REF!,"AAAAAH/f+w0=")</f>
        <v>#REF!</v>
      </c>
      <c r="O18" t="e">
        <f>AND(#REF!,"AAAAAH/f+w4=")</f>
        <v>#REF!</v>
      </c>
      <c r="P18" t="e">
        <f>AND(#REF!,"AAAAAH/f+w8=")</f>
        <v>#REF!</v>
      </c>
      <c r="Q18" t="e">
        <f>AND(#REF!,"AAAAAH/f+xA=")</f>
        <v>#REF!</v>
      </c>
      <c r="R18" t="e">
        <f>AND(#REF!,"AAAAAH/f+xE=")</f>
        <v>#REF!</v>
      </c>
      <c r="S18" t="e">
        <f>AND(#REF!,"AAAAAH/f+xI=")</f>
        <v>#REF!</v>
      </c>
      <c r="T18" t="e">
        <f>AND(#REF!,"AAAAAH/f+xM=")</f>
        <v>#REF!</v>
      </c>
      <c r="U18" t="e">
        <f>AND(#REF!,"AAAAAH/f+xQ=")</f>
        <v>#REF!</v>
      </c>
      <c r="V18" t="e">
        <f>AND(#REF!,"AAAAAH/f+xU=")</f>
        <v>#REF!</v>
      </c>
      <c r="W18" t="e">
        <f>AND(#REF!,"AAAAAH/f+xY=")</f>
        <v>#REF!</v>
      </c>
      <c r="X18" t="e">
        <f>AND(#REF!,"AAAAAH/f+xc=")</f>
        <v>#REF!</v>
      </c>
      <c r="Y18" t="e">
        <f>AND(#REF!,"AAAAAH/f+xg=")</f>
        <v>#REF!</v>
      </c>
      <c r="Z18" t="e">
        <f>AND(#REF!,"AAAAAH/f+xk=")</f>
        <v>#REF!</v>
      </c>
      <c r="AA18" t="e">
        <f>AND(#REF!,"AAAAAH/f+xo=")</f>
        <v>#REF!</v>
      </c>
      <c r="AB18" t="e">
        <f>AND(#REF!,"AAAAAH/f+xs=")</f>
        <v>#REF!</v>
      </c>
      <c r="AC18" t="e">
        <f>AND(#REF!,"AAAAAH/f+xw=")</f>
        <v>#REF!</v>
      </c>
      <c r="AD18" t="e">
        <f>AND(#REF!,"AAAAAH/f+x0=")</f>
        <v>#REF!</v>
      </c>
      <c r="AE18" t="e">
        <f>AND(#REF!,"AAAAAH/f+x4=")</f>
        <v>#REF!</v>
      </c>
      <c r="AF18" t="e">
        <f>AND(#REF!,"AAAAAH/f+x8=")</f>
        <v>#REF!</v>
      </c>
      <c r="AG18" t="e">
        <f>AND(#REF!,"AAAAAH/f+yA=")</f>
        <v>#REF!</v>
      </c>
      <c r="AH18" t="e">
        <f>IF(#REF!,"AAAAAH/f+yE=",0)</f>
        <v>#REF!</v>
      </c>
      <c r="AI18" t="e">
        <f>AND(#REF!,"AAAAAH/f+yI=")</f>
        <v>#REF!</v>
      </c>
      <c r="AJ18" t="e">
        <f>AND(#REF!,"AAAAAH/f+yM=")</f>
        <v>#REF!</v>
      </c>
      <c r="AK18" t="e">
        <f>AND(#REF!,"AAAAAH/f+yQ=")</f>
        <v>#REF!</v>
      </c>
      <c r="AL18" t="e">
        <f>AND(#REF!,"AAAAAH/f+yU=")</f>
        <v>#REF!</v>
      </c>
      <c r="AM18" t="e">
        <f>AND(#REF!,"AAAAAH/f+yY=")</f>
        <v>#REF!</v>
      </c>
      <c r="AN18" t="e">
        <f>AND(#REF!,"AAAAAH/f+yc=")</f>
        <v>#REF!</v>
      </c>
      <c r="AO18" t="e">
        <f>AND(#REF!,"AAAAAH/f+yg=")</f>
        <v>#REF!</v>
      </c>
      <c r="AP18" t="e">
        <f>AND(#REF!,"AAAAAH/f+yk=")</f>
        <v>#REF!</v>
      </c>
      <c r="AQ18" t="e">
        <f>AND(#REF!,"AAAAAH/f+yo=")</f>
        <v>#REF!</v>
      </c>
      <c r="AR18" t="e">
        <f>AND(#REF!,"AAAAAH/f+ys=")</f>
        <v>#REF!</v>
      </c>
      <c r="AS18" t="e">
        <f>AND(#REF!,"AAAAAH/f+yw=")</f>
        <v>#REF!</v>
      </c>
      <c r="AT18" t="e">
        <f>AND(#REF!,"AAAAAH/f+y0=")</f>
        <v>#REF!</v>
      </c>
      <c r="AU18" t="e">
        <f>AND(#REF!,"AAAAAH/f+y4=")</f>
        <v>#REF!</v>
      </c>
      <c r="AV18" t="e">
        <f>AND(#REF!,"AAAAAH/f+y8=")</f>
        <v>#REF!</v>
      </c>
      <c r="AW18" t="e">
        <f>AND(#REF!,"AAAAAH/f+zA=")</f>
        <v>#REF!</v>
      </c>
      <c r="AX18" t="e">
        <f>AND(#REF!,"AAAAAH/f+zE=")</f>
        <v>#REF!</v>
      </c>
      <c r="AY18" t="e">
        <f>AND(#REF!,"AAAAAH/f+zI=")</f>
        <v>#REF!</v>
      </c>
      <c r="AZ18" t="e">
        <f>AND(#REF!,"AAAAAH/f+zM=")</f>
        <v>#REF!</v>
      </c>
      <c r="BA18" t="e">
        <f>AND(#REF!,"AAAAAH/f+zQ=")</f>
        <v>#REF!</v>
      </c>
      <c r="BB18" t="e">
        <f>AND(#REF!,"AAAAAH/f+zU=")</f>
        <v>#REF!</v>
      </c>
      <c r="BC18" t="e">
        <f>AND(#REF!,"AAAAAH/f+zY=")</f>
        <v>#REF!</v>
      </c>
      <c r="BD18" t="e">
        <f>AND(#REF!,"AAAAAH/f+zc=")</f>
        <v>#REF!</v>
      </c>
      <c r="BE18" t="e">
        <f>AND(#REF!,"AAAAAH/f+zg=")</f>
        <v>#REF!</v>
      </c>
      <c r="BF18" t="e">
        <f>AND(#REF!,"AAAAAH/f+zk=")</f>
        <v>#REF!</v>
      </c>
      <c r="BG18" t="e">
        <f>AND(#REF!,"AAAAAH/f+zo=")</f>
        <v>#REF!</v>
      </c>
      <c r="BH18" t="e">
        <f>AND(#REF!,"AAAAAH/f+zs=")</f>
        <v>#REF!</v>
      </c>
      <c r="BI18" t="e">
        <f>AND(#REF!,"AAAAAH/f+zw=")</f>
        <v>#REF!</v>
      </c>
      <c r="BJ18" t="e">
        <f>AND(#REF!,"AAAAAH/f+z0=")</f>
        <v>#REF!</v>
      </c>
      <c r="BK18" t="e">
        <f>IF(#REF!,"AAAAAH/f+z4=",0)</f>
        <v>#REF!</v>
      </c>
      <c r="BL18" t="e">
        <f>AND(#REF!,"AAAAAH/f+z8=")</f>
        <v>#REF!</v>
      </c>
      <c r="BM18" t="e">
        <f>AND(#REF!,"AAAAAH/f+0A=")</f>
        <v>#REF!</v>
      </c>
      <c r="BN18" t="e">
        <f>AND(#REF!,"AAAAAH/f+0E=")</f>
        <v>#REF!</v>
      </c>
      <c r="BO18" t="e">
        <f>AND(#REF!,"AAAAAH/f+0I=")</f>
        <v>#REF!</v>
      </c>
      <c r="BP18" t="e">
        <f>AND(#REF!,"AAAAAH/f+0M=")</f>
        <v>#REF!</v>
      </c>
      <c r="BQ18" t="e">
        <f>AND(#REF!,"AAAAAH/f+0Q=")</f>
        <v>#REF!</v>
      </c>
      <c r="BR18" t="e">
        <f>AND(#REF!,"AAAAAH/f+0U=")</f>
        <v>#REF!</v>
      </c>
      <c r="BS18" t="e">
        <f>AND(#REF!,"AAAAAH/f+0Y=")</f>
        <v>#REF!</v>
      </c>
      <c r="BT18" t="e">
        <f>AND(#REF!,"AAAAAH/f+0c=")</f>
        <v>#REF!</v>
      </c>
      <c r="BU18" t="e">
        <f>AND(#REF!,"AAAAAH/f+0g=")</f>
        <v>#REF!</v>
      </c>
      <c r="BV18" t="e">
        <f>AND(#REF!,"AAAAAH/f+0k=")</f>
        <v>#REF!</v>
      </c>
      <c r="BW18" t="e">
        <f>AND(#REF!,"AAAAAH/f+0o=")</f>
        <v>#REF!</v>
      </c>
      <c r="BX18" t="e">
        <f>AND(#REF!,"AAAAAH/f+0s=")</f>
        <v>#REF!</v>
      </c>
      <c r="BY18" t="e">
        <f>AND(#REF!,"AAAAAH/f+0w=")</f>
        <v>#REF!</v>
      </c>
      <c r="BZ18" t="e">
        <f>AND(#REF!,"AAAAAH/f+00=")</f>
        <v>#REF!</v>
      </c>
      <c r="CA18" t="e">
        <f>AND(#REF!,"AAAAAH/f+04=")</f>
        <v>#REF!</v>
      </c>
      <c r="CB18" t="e">
        <f>AND(#REF!,"AAAAAH/f+08=")</f>
        <v>#REF!</v>
      </c>
      <c r="CC18" t="e">
        <f>AND(#REF!,"AAAAAH/f+1A=")</f>
        <v>#REF!</v>
      </c>
      <c r="CD18" t="e">
        <f>AND(#REF!,"AAAAAH/f+1E=")</f>
        <v>#REF!</v>
      </c>
      <c r="CE18" t="e">
        <f>AND(#REF!,"AAAAAH/f+1I=")</f>
        <v>#REF!</v>
      </c>
      <c r="CF18" t="e">
        <f>AND(#REF!,"AAAAAH/f+1M=")</f>
        <v>#REF!</v>
      </c>
      <c r="CG18" t="e">
        <f>AND(#REF!,"AAAAAH/f+1Q=")</f>
        <v>#REF!</v>
      </c>
      <c r="CH18" t="e">
        <f>AND(#REF!,"AAAAAH/f+1U=")</f>
        <v>#REF!</v>
      </c>
      <c r="CI18" t="e">
        <f>AND(#REF!,"AAAAAH/f+1Y=")</f>
        <v>#REF!</v>
      </c>
      <c r="CJ18" t="e">
        <f>AND(#REF!,"AAAAAH/f+1c=")</f>
        <v>#REF!</v>
      </c>
      <c r="CK18" t="e">
        <f>AND(#REF!,"AAAAAH/f+1g=")</f>
        <v>#REF!</v>
      </c>
      <c r="CL18" t="e">
        <f>AND(#REF!,"AAAAAH/f+1k=")</f>
        <v>#REF!</v>
      </c>
      <c r="CM18" t="e">
        <f>AND(#REF!,"AAAAAH/f+1o=")</f>
        <v>#REF!</v>
      </c>
      <c r="CN18" t="e">
        <f>IF(#REF!,"AAAAAH/f+1s=",0)</f>
        <v>#REF!</v>
      </c>
      <c r="CO18" t="e">
        <f>AND(#REF!,"AAAAAH/f+1w=")</f>
        <v>#REF!</v>
      </c>
      <c r="CP18" t="e">
        <f>AND(#REF!,"AAAAAH/f+10=")</f>
        <v>#REF!</v>
      </c>
      <c r="CQ18" t="e">
        <f>AND(#REF!,"AAAAAH/f+14=")</f>
        <v>#REF!</v>
      </c>
      <c r="CR18" t="e">
        <f>AND(#REF!,"AAAAAH/f+18=")</f>
        <v>#REF!</v>
      </c>
      <c r="CS18" t="e">
        <f>AND(#REF!,"AAAAAH/f+2A=")</f>
        <v>#REF!</v>
      </c>
      <c r="CT18" t="e">
        <f>AND(#REF!,"AAAAAH/f+2E=")</f>
        <v>#REF!</v>
      </c>
      <c r="CU18" t="e">
        <f>AND(#REF!,"AAAAAH/f+2I=")</f>
        <v>#REF!</v>
      </c>
      <c r="CV18" t="e">
        <f>AND(#REF!,"AAAAAH/f+2M=")</f>
        <v>#REF!</v>
      </c>
      <c r="CW18" t="e">
        <f>AND(#REF!,"AAAAAH/f+2Q=")</f>
        <v>#REF!</v>
      </c>
      <c r="CX18" t="e">
        <f>AND(#REF!,"AAAAAH/f+2U=")</f>
        <v>#REF!</v>
      </c>
      <c r="CY18" t="e">
        <f>AND(#REF!,"AAAAAH/f+2Y=")</f>
        <v>#REF!</v>
      </c>
      <c r="CZ18" t="e">
        <f>AND(#REF!,"AAAAAH/f+2c=")</f>
        <v>#REF!</v>
      </c>
      <c r="DA18" t="e">
        <f>AND(#REF!,"AAAAAH/f+2g=")</f>
        <v>#REF!</v>
      </c>
      <c r="DB18" t="e">
        <f>AND(#REF!,"AAAAAH/f+2k=")</f>
        <v>#REF!</v>
      </c>
      <c r="DC18" t="e">
        <f>AND(#REF!,"AAAAAH/f+2o=")</f>
        <v>#REF!</v>
      </c>
      <c r="DD18" t="e">
        <f>AND(#REF!,"AAAAAH/f+2s=")</f>
        <v>#REF!</v>
      </c>
      <c r="DE18" t="e">
        <f>AND(#REF!,"AAAAAH/f+2w=")</f>
        <v>#REF!</v>
      </c>
      <c r="DF18" t="e">
        <f>AND(#REF!,"AAAAAH/f+20=")</f>
        <v>#REF!</v>
      </c>
      <c r="DG18" t="e">
        <f>AND(#REF!,"AAAAAH/f+24=")</f>
        <v>#REF!</v>
      </c>
      <c r="DH18" t="e">
        <f>AND(#REF!,"AAAAAH/f+28=")</f>
        <v>#REF!</v>
      </c>
      <c r="DI18" t="e">
        <f>AND(#REF!,"AAAAAH/f+3A=")</f>
        <v>#REF!</v>
      </c>
      <c r="DJ18" t="e">
        <f>AND(#REF!,"AAAAAH/f+3E=")</f>
        <v>#REF!</v>
      </c>
      <c r="DK18" t="e">
        <f>AND(#REF!,"AAAAAH/f+3I=")</f>
        <v>#REF!</v>
      </c>
      <c r="DL18" t="e">
        <f>AND(#REF!,"AAAAAH/f+3M=")</f>
        <v>#REF!</v>
      </c>
      <c r="DM18" t="e">
        <f>AND(#REF!,"AAAAAH/f+3Q=")</f>
        <v>#REF!</v>
      </c>
      <c r="DN18" t="e">
        <f>AND(#REF!,"AAAAAH/f+3U=")</f>
        <v>#REF!</v>
      </c>
      <c r="DO18" t="e">
        <f>AND(#REF!,"AAAAAH/f+3Y=")</f>
        <v>#REF!</v>
      </c>
      <c r="DP18" t="e">
        <f>AND(#REF!,"AAAAAH/f+3c=")</f>
        <v>#REF!</v>
      </c>
      <c r="DQ18" t="e">
        <f>IF(#REF!,"AAAAAH/f+3g=",0)</f>
        <v>#REF!</v>
      </c>
      <c r="DR18" t="e">
        <f>AND(#REF!,"AAAAAH/f+3k=")</f>
        <v>#REF!</v>
      </c>
      <c r="DS18" t="e">
        <f>AND(#REF!,"AAAAAH/f+3o=")</f>
        <v>#REF!</v>
      </c>
      <c r="DT18" t="e">
        <f>AND(#REF!,"AAAAAH/f+3s=")</f>
        <v>#REF!</v>
      </c>
      <c r="DU18" t="e">
        <f>AND(#REF!,"AAAAAH/f+3w=")</f>
        <v>#REF!</v>
      </c>
      <c r="DV18" t="e">
        <f>AND(#REF!,"AAAAAH/f+30=")</f>
        <v>#REF!</v>
      </c>
      <c r="DW18" t="e">
        <f>AND(#REF!,"AAAAAH/f+34=")</f>
        <v>#REF!</v>
      </c>
      <c r="DX18" t="e">
        <f>AND(#REF!,"AAAAAH/f+38=")</f>
        <v>#REF!</v>
      </c>
      <c r="DY18" t="e">
        <f>AND(#REF!,"AAAAAH/f+4A=")</f>
        <v>#REF!</v>
      </c>
      <c r="DZ18" t="e">
        <f>AND(#REF!,"AAAAAH/f+4E=")</f>
        <v>#REF!</v>
      </c>
      <c r="EA18" t="e">
        <f>AND(#REF!,"AAAAAH/f+4I=")</f>
        <v>#REF!</v>
      </c>
      <c r="EB18" t="e">
        <f>AND(#REF!,"AAAAAH/f+4M=")</f>
        <v>#REF!</v>
      </c>
      <c r="EC18" t="e">
        <f>AND(#REF!,"AAAAAH/f+4Q=")</f>
        <v>#REF!</v>
      </c>
      <c r="ED18" t="e">
        <f>AND(#REF!,"AAAAAH/f+4U=")</f>
        <v>#REF!</v>
      </c>
      <c r="EE18" t="e">
        <f>AND(#REF!,"AAAAAH/f+4Y=")</f>
        <v>#REF!</v>
      </c>
      <c r="EF18" t="e">
        <f>AND(#REF!,"AAAAAH/f+4c=")</f>
        <v>#REF!</v>
      </c>
      <c r="EG18" t="e">
        <f>AND(#REF!,"AAAAAH/f+4g=")</f>
        <v>#REF!</v>
      </c>
      <c r="EH18" t="e">
        <f>AND(#REF!,"AAAAAH/f+4k=")</f>
        <v>#REF!</v>
      </c>
      <c r="EI18" t="e">
        <f>AND(#REF!,"AAAAAH/f+4o=")</f>
        <v>#REF!</v>
      </c>
      <c r="EJ18" t="e">
        <f>AND(#REF!,"AAAAAH/f+4s=")</f>
        <v>#REF!</v>
      </c>
      <c r="EK18" t="e">
        <f>AND(#REF!,"AAAAAH/f+4w=")</f>
        <v>#REF!</v>
      </c>
      <c r="EL18" t="e">
        <f>AND(#REF!,"AAAAAH/f+40=")</f>
        <v>#REF!</v>
      </c>
      <c r="EM18" t="e">
        <f>AND(#REF!,"AAAAAH/f+44=")</f>
        <v>#REF!</v>
      </c>
      <c r="EN18" t="e">
        <f>AND(#REF!,"AAAAAH/f+48=")</f>
        <v>#REF!</v>
      </c>
      <c r="EO18" t="e">
        <f>AND(#REF!,"AAAAAH/f+5A=")</f>
        <v>#REF!</v>
      </c>
      <c r="EP18" t="e">
        <f>AND(#REF!,"AAAAAH/f+5E=")</f>
        <v>#REF!</v>
      </c>
      <c r="EQ18" t="e">
        <f>AND(#REF!,"AAAAAH/f+5I=")</f>
        <v>#REF!</v>
      </c>
      <c r="ER18" t="e">
        <f>AND(#REF!,"AAAAAH/f+5M=")</f>
        <v>#REF!</v>
      </c>
      <c r="ES18" t="e">
        <f>AND(#REF!,"AAAAAH/f+5Q=")</f>
        <v>#REF!</v>
      </c>
      <c r="ET18" t="e">
        <f>IF(#REF!,"AAAAAH/f+5U=",0)</f>
        <v>#REF!</v>
      </c>
      <c r="EU18" t="e">
        <f>AND(#REF!,"AAAAAH/f+5Y=")</f>
        <v>#REF!</v>
      </c>
      <c r="EV18" t="e">
        <f>AND(#REF!,"AAAAAH/f+5c=")</f>
        <v>#REF!</v>
      </c>
      <c r="EW18" t="e">
        <f>AND(#REF!,"AAAAAH/f+5g=")</f>
        <v>#REF!</v>
      </c>
      <c r="EX18" t="e">
        <f>AND(#REF!,"AAAAAH/f+5k=")</f>
        <v>#REF!</v>
      </c>
      <c r="EY18" t="e">
        <f>AND(#REF!,"AAAAAH/f+5o=")</f>
        <v>#REF!</v>
      </c>
      <c r="EZ18" t="e">
        <f>AND(#REF!,"AAAAAH/f+5s=")</f>
        <v>#REF!</v>
      </c>
      <c r="FA18" t="e">
        <f>AND(#REF!,"AAAAAH/f+5w=")</f>
        <v>#REF!</v>
      </c>
      <c r="FB18" t="e">
        <f>AND(#REF!,"AAAAAH/f+50=")</f>
        <v>#REF!</v>
      </c>
      <c r="FC18" t="e">
        <f>AND(#REF!,"AAAAAH/f+54=")</f>
        <v>#REF!</v>
      </c>
      <c r="FD18" t="e">
        <f>AND(#REF!,"AAAAAH/f+58=")</f>
        <v>#REF!</v>
      </c>
      <c r="FE18" t="e">
        <f>AND(#REF!,"AAAAAH/f+6A=")</f>
        <v>#REF!</v>
      </c>
      <c r="FF18" t="e">
        <f>AND(#REF!,"AAAAAH/f+6E=")</f>
        <v>#REF!</v>
      </c>
      <c r="FG18" t="e">
        <f>AND(#REF!,"AAAAAH/f+6I=")</f>
        <v>#REF!</v>
      </c>
      <c r="FH18" t="e">
        <f>AND(#REF!,"AAAAAH/f+6M=")</f>
        <v>#REF!</v>
      </c>
      <c r="FI18" t="e">
        <f>AND(#REF!,"AAAAAH/f+6Q=")</f>
        <v>#REF!</v>
      </c>
      <c r="FJ18" t="e">
        <f>AND(#REF!,"AAAAAH/f+6U=")</f>
        <v>#REF!</v>
      </c>
      <c r="FK18" t="e">
        <f>AND(#REF!,"AAAAAH/f+6Y=")</f>
        <v>#REF!</v>
      </c>
      <c r="FL18" t="e">
        <f>AND(#REF!,"AAAAAH/f+6c=")</f>
        <v>#REF!</v>
      </c>
      <c r="FM18" t="e">
        <f>AND(#REF!,"AAAAAH/f+6g=")</f>
        <v>#REF!</v>
      </c>
      <c r="FN18" t="e">
        <f>AND(#REF!,"AAAAAH/f+6k=")</f>
        <v>#REF!</v>
      </c>
      <c r="FO18" t="e">
        <f>AND(#REF!,"AAAAAH/f+6o=")</f>
        <v>#REF!</v>
      </c>
      <c r="FP18" t="e">
        <f>AND(#REF!,"AAAAAH/f+6s=")</f>
        <v>#REF!</v>
      </c>
      <c r="FQ18" t="e">
        <f>AND(#REF!,"AAAAAH/f+6w=")</f>
        <v>#REF!</v>
      </c>
      <c r="FR18" t="e">
        <f>AND(#REF!,"AAAAAH/f+60=")</f>
        <v>#REF!</v>
      </c>
      <c r="FS18" t="e">
        <f>AND(#REF!,"AAAAAH/f+64=")</f>
        <v>#REF!</v>
      </c>
      <c r="FT18" t="e">
        <f>AND(#REF!,"AAAAAH/f+68=")</f>
        <v>#REF!</v>
      </c>
      <c r="FU18" t="e">
        <f>AND(#REF!,"AAAAAH/f+7A=")</f>
        <v>#REF!</v>
      </c>
      <c r="FV18" t="e">
        <f>AND(#REF!,"AAAAAH/f+7E=")</f>
        <v>#REF!</v>
      </c>
      <c r="FW18" t="e">
        <f>IF(#REF!,"AAAAAH/f+7I=",0)</f>
        <v>#REF!</v>
      </c>
      <c r="FX18" t="e">
        <f>AND(#REF!,"AAAAAH/f+7M=")</f>
        <v>#REF!</v>
      </c>
      <c r="FY18" t="e">
        <f>AND(#REF!,"AAAAAH/f+7Q=")</f>
        <v>#REF!</v>
      </c>
      <c r="FZ18" t="e">
        <f>AND(#REF!,"AAAAAH/f+7U=")</f>
        <v>#REF!</v>
      </c>
      <c r="GA18" t="e">
        <f>AND(#REF!,"AAAAAH/f+7Y=")</f>
        <v>#REF!</v>
      </c>
      <c r="GB18" t="e">
        <f>AND(#REF!,"AAAAAH/f+7c=")</f>
        <v>#REF!</v>
      </c>
      <c r="GC18" t="e">
        <f>AND(#REF!,"AAAAAH/f+7g=")</f>
        <v>#REF!</v>
      </c>
      <c r="GD18" t="e">
        <f>AND(#REF!,"AAAAAH/f+7k=")</f>
        <v>#REF!</v>
      </c>
      <c r="GE18" t="e">
        <f>AND(#REF!,"AAAAAH/f+7o=")</f>
        <v>#REF!</v>
      </c>
      <c r="GF18" t="e">
        <f>AND(#REF!,"AAAAAH/f+7s=")</f>
        <v>#REF!</v>
      </c>
      <c r="GG18" t="e">
        <f>AND(#REF!,"AAAAAH/f+7w=")</f>
        <v>#REF!</v>
      </c>
      <c r="GH18" t="e">
        <f>AND(#REF!,"AAAAAH/f+70=")</f>
        <v>#REF!</v>
      </c>
      <c r="GI18" t="e">
        <f>AND(#REF!,"AAAAAH/f+74=")</f>
        <v>#REF!</v>
      </c>
      <c r="GJ18" t="e">
        <f>AND(#REF!,"AAAAAH/f+78=")</f>
        <v>#REF!</v>
      </c>
      <c r="GK18" t="e">
        <f>AND(#REF!,"AAAAAH/f+8A=")</f>
        <v>#REF!</v>
      </c>
      <c r="GL18" t="e">
        <f>AND(#REF!,"AAAAAH/f+8E=")</f>
        <v>#REF!</v>
      </c>
      <c r="GM18" t="e">
        <f>AND(#REF!,"AAAAAH/f+8I=")</f>
        <v>#REF!</v>
      </c>
      <c r="GN18" t="e">
        <f>AND(#REF!,"AAAAAH/f+8M=")</f>
        <v>#REF!</v>
      </c>
      <c r="GO18" t="e">
        <f>AND(#REF!,"AAAAAH/f+8Q=")</f>
        <v>#REF!</v>
      </c>
      <c r="GP18" t="e">
        <f>AND(#REF!,"AAAAAH/f+8U=")</f>
        <v>#REF!</v>
      </c>
      <c r="GQ18" t="e">
        <f>AND(#REF!,"AAAAAH/f+8Y=")</f>
        <v>#REF!</v>
      </c>
      <c r="GR18" t="e">
        <f>AND(#REF!,"AAAAAH/f+8c=")</f>
        <v>#REF!</v>
      </c>
      <c r="GS18" t="e">
        <f>AND(#REF!,"AAAAAH/f+8g=")</f>
        <v>#REF!</v>
      </c>
      <c r="GT18" t="e">
        <f>AND(#REF!,"AAAAAH/f+8k=")</f>
        <v>#REF!</v>
      </c>
      <c r="GU18" t="e">
        <f>AND(#REF!,"AAAAAH/f+8o=")</f>
        <v>#REF!</v>
      </c>
      <c r="GV18" t="e">
        <f>AND(#REF!,"AAAAAH/f+8s=")</f>
        <v>#REF!</v>
      </c>
      <c r="GW18" t="e">
        <f>AND(#REF!,"AAAAAH/f+8w=")</f>
        <v>#REF!</v>
      </c>
      <c r="GX18" t="e">
        <f>AND(#REF!,"AAAAAH/f+80=")</f>
        <v>#REF!</v>
      </c>
      <c r="GY18" t="e">
        <f>AND(#REF!,"AAAAAH/f+84=")</f>
        <v>#REF!</v>
      </c>
      <c r="GZ18" t="e">
        <f>IF(#REF!,"AAAAAH/f+88=",0)</f>
        <v>#REF!</v>
      </c>
      <c r="HA18" t="e">
        <f>AND(#REF!,"AAAAAH/f+9A=")</f>
        <v>#REF!</v>
      </c>
      <c r="HB18" t="e">
        <f>AND(#REF!,"AAAAAH/f+9E=")</f>
        <v>#REF!</v>
      </c>
      <c r="HC18" t="e">
        <f>AND(#REF!,"AAAAAH/f+9I=")</f>
        <v>#REF!</v>
      </c>
      <c r="HD18" t="e">
        <f>AND(#REF!,"AAAAAH/f+9M=")</f>
        <v>#REF!</v>
      </c>
      <c r="HE18" t="e">
        <f>AND(#REF!,"AAAAAH/f+9Q=")</f>
        <v>#REF!</v>
      </c>
      <c r="HF18" t="e">
        <f>AND(#REF!,"AAAAAH/f+9U=")</f>
        <v>#REF!</v>
      </c>
      <c r="HG18" t="e">
        <f>AND(#REF!,"AAAAAH/f+9Y=")</f>
        <v>#REF!</v>
      </c>
      <c r="HH18" t="e">
        <f>AND(#REF!,"AAAAAH/f+9c=")</f>
        <v>#REF!</v>
      </c>
      <c r="HI18" t="e">
        <f>AND(#REF!,"AAAAAH/f+9g=")</f>
        <v>#REF!</v>
      </c>
      <c r="HJ18" t="e">
        <f>AND(#REF!,"AAAAAH/f+9k=")</f>
        <v>#REF!</v>
      </c>
      <c r="HK18" t="e">
        <f>AND(#REF!,"AAAAAH/f+9o=")</f>
        <v>#REF!</v>
      </c>
      <c r="HL18" t="e">
        <f>AND(#REF!,"AAAAAH/f+9s=")</f>
        <v>#REF!</v>
      </c>
      <c r="HM18" t="e">
        <f>AND(#REF!,"AAAAAH/f+9w=")</f>
        <v>#REF!</v>
      </c>
      <c r="HN18" t="e">
        <f>AND(#REF!,"AAAAAH/f+90=")</f>
        <v>#REF!</v>
      </c>
      <c r="HO18" t="e">
        <f>AND(#REF!,"AAAAAH/f+94=")</f>
        <v>#REF!</v>
      </c>
      <c r="HP18" t="e">
        <f>AND(#REF!,"AAAAAH/f+98=")</f>
        <v>#REF!</v>
      </c>
      <c r="HQ18" t="e">
        <f>AND(#REF!,"AAAAAH/f++A=")</f>
        <v>#REF!</v>
      </c>
      <c r="HR18" t="e">
        <f>AND(#REF!,"AAAAAH/f++E=")</f>
        <v>#REF!</v>
      </c>
      <c r="HS18" t="e">
        <f>AND(#REF!,"AAAAAH/f++I=")</f>
        <v>#REF!</v>
      </c>
      <c r="HT18" t="e">
        <f>AND(#REF!,"AAAAAH/f++M=")</f>
        <v>#REF!</v>
      </c>
      <c r="HU18" t="e">
        <f>AND(#REF!,"AAAAAH/f++Q=")</f>
        <v>#REF!</v>
      </c>
      <c r="HV18" t="e">
        <f>AND(#REF!,"AAAAAH/f++U=")</f>
        <v>#REF!</v>
      </c>
      <c r="HW18" t="e">
        <f>AND(#REF!,"AAAAAH/f++Y=")</f>
        <v>#REF!</v>
      </c>
      <c r="HX18" t="e">
        <f>AND(#REF!,"AAAAAH/f++c=")</f>
        <v>#REF!</v>
      </c>
      <c r="HY18" t="e">
        <f>AND(#REF!,"AAAAAH/f++g=")</f>
        <v>#REF!</v>
      </c>
      <c r="HZ18" t="e">
        <f>AND(#REF!,"AAAAAH/f++k=")</f>
        <v>#REF!</v>
      </c>
      <c r="IA18" t="e">
        <f>AND(#REF!,"AAAAAH/f++o=")</f>
        <v>#REF!</v>
      </c>
      <c r="IB18" t="e">
        <f>AND(#REF!,"AAAAAH/f++s=")</f>
        <v>#REF!</v>
      </c>
      <c r="IC18" t="e">
        <f>IF(#REF!,"AAAAAH/f++w=",0)</f>
        <v>#REF!</v>
      </c>
      <c r="ID18" t="e">
        <f>AND(#REF!,"AAAAAH/f++0=")</f>
        <v>#REF!</v>
      </c>
      <c r="IE18" t="e">
        <f>AND(#REF!,"AAAAAH/f++4=")</f>
        <v>#REF!</v>
      </c>
      <c r="IF18" t="e">
        <f>AND(#REF!,"AAAAAH/f++8=")</f>
        <v>#REF!</v>
      </c>
      <c r="IG18" t="e">
        <f>AND(#REF!,"AAAAAH/f+/A=")</f>
        <v>#REF!</v>
      </c>
      <c r="IH18" t="e">
        <f>AND(#REF!,"AAAAAH/f+/E=")</f>
        <v>#REF!</v>
      </c>
      <c r="II18" t="e">
        <f>AND(#REF!,"AAAAAH/f+/I=")</f>
        <v>#REF!</v>
      </c>
      <c r="IJ18" t="e">
        <f>AND(#REF!,"AAAAAH/f+/M=")</f>
        <v>#REF!</v>
      </c>
      <c r="IK18" t="e">
        <f>AND(#REF!,"AAAAAH/f+/Q=")</f>
        <v>#REF!</v>
      </c>
      <c r="IL18" t="e">
        <f>AND(#REF!,"AAAAAH/f+/U=")</f>
        <v>#REF!</v>
      </c>
      <c r="IM18" t="e">
        <f>AND(#REF!,"AAAAAH/f+/Y=")</f>
        <v>#REF!</v>
      </c>
      <c r="IN18" t="e">
        <f>AND(#REF!,"AAAAAH/f+/c=")</f>
        <v>#REF!</v>
      </c>
      <c r="IO18" t="e">
        <f>AND(#REF!,"AAAAAH/f+/g=")</f>
        <v>#REF!</v>
      </c>
      <c r="IP18" t="e">
        <f>AND(#REF!,"AAAAAH/f+/k=")</f>
        <v>#REF!</v>
      </c>
      <c r="IQ18" t="e">
        <f>AND(#REF!,"AAAAAH/f+/o=")</f>
        <v>#REF!</v>
      </c>
      <c r="IR18" t="e">
        <f>AND(#REF!,"AAAAAH/f+/s=")</f>
        <v>#REF!</v>
      </c>
      <c r="IS18" t="e">
        <f>AND(#REF!,"AAAAAH/f+/w=")</f>
        <v>#REF!</v>
      </c>
      <c r="IT18" t="e">
        <f>AND(#REF!,"AAAAAH/f+/0=")</f>
        <v>#REF!</v>
      </c>
      <c r="IU18" t="e">
        <f>AND(#REF!,"AAAAAH/f+/4=")</f>
        <v>#REF!</v>
      </c>
      <c r="IV18" t="e">
        <f>AND(#REF!,"AAAAAH/f+/8=")</f>
        <v>#REF!</v>
      </c>
    </row>
    <row r="19" spans="1:256" x14ac:dyDescent="0.2">
      <c r="A19" t="e">
        <f>AND(#REF!,"AAAAAHxc7wA=")</f>
        <v>#REF!</v>
      </c>
      <c r="B19" t="e">
        <f>AND(#REF!,"AAAAAHxc7wE=")</f>
        <v>#REF!</v>
      </c>
      <c r="C19" t="e">
        <f>AND(#REF!,"AAAAAHxc7wI=")</f>
        <v>#REF!</v>
      </c>
      <c r="D19" t="e">
        <f>AND(#REF!,"AAAAAHxc7wM=")</f>
        <v>#REF!</v>
      </c>
      <c r="E19" t="e">
        <f>AND(#REF!,"AAAAAHxc7wQ=")</f>
        <v>#REF!</v>
      </c>
      <c r="F19" t="e">
        <f>AND(#REF!,"AAAAAHxc7wU=")</f>
        <v>#REF!</v>
      </c>
      <c r="G19" t="e">
        <f>AND(#REF!,"AAAAAHxc7wY=")</f>
        <v>#REF!</v>
      </c>
      <c r="H19" t="e">
        <f>AND(#REF!,"AAAAAHxc7wc=")</f>
        <v>#REF!</v>
      </c>
      <c r="I19" t="e">
        <f>AND(#REF!,"AAAAAHxc7wg=")</f>
        <v>#REF!</v>
      </c>
      <c r="J19" t="e">
        <f>IF(#REF!,"AAAAAHxc7wk=",0)</f>
        <v>#REF!</v>
      </c>
      <c r="K19" t="e">
        <f>AND(#REF!,"AAAAAHxc7wo=")</f>
        <v>#REF!</v>
      </c>
      <c r="L19" t="e">
        <f>AND(#REF!,"AAAAAHxc7ws=")</f>
        <v>#REF!</v>
      </c>
      <c r="M19" t="e">
        <f>AND(#REF!,"AAAAAHxc7ww=")</f>
        <v>#REF!</v>
      </c>
      <c r="N19" t="e">
        <f>AND(#REF!,"AAAAAHxc7w0=")</f>
        <v>#REF!</v>
      </c>
      <c r="O19" t="e">
        <f>AND(#REF!,"AAAAAHxc7w4=")</f>
        <v>#REF!</v>
      </c>
      <c r="P19" t="e">
        <f>AND(#REF!,"AAAAAHxc7w8=")</f>
        <v>#REF!</v>
      </c>
      <c r="Q19" t="e">
        <f>AND(#REF!,"AAAAAHxc7xA=")</f>
        <v>#REF!</v>
      </c>
      <c r="R19" t="e">
        <f>AND(#REF!,"AAAAAHxc7xE=")</f>
        <v>#REF!</v>
      </c>
      <c r="S19" t="e">
        <f>AND(#REF!,"AAAAAHxc7xI=")</f>
        <v>#REF!</v>
      </c>
      <c r="T19" t="e">
        <f>AND(#REF!,"AAAAAHxc7xM=")</f>
        <v>#REF!</v>
      </c>
      <c r="U19" t="e">
        <f>AND(#REF!,"AAAAAHxc7xQ=")</f>
        <v>#REF!</v>
      </c>
      <c r="V19" t="e">
        <f>AND(#REF!,"AAAAAHxc7xU=")</f>
        <v>#REF!</v>
      </c>
      <c r="W19" t="e">
        <f>AND(#REF!,"AAAAAHxc7xY=")</f>
        <v>#REF!</v>
      </c>
      <c r="X19" t="e">
        <f>AND(#REF!,"AAAAAHxc7xc=")</f>
        <v>#REF!</v>
      </c>
      <c r="Y19" t="e">
        <f>AND(#REF!,"AAAAAHxc7xg=")</f>
        <v>#REF!</v>
      </c>
      <c r="Z19" t="e">
        <f>AND(#REF!,"AAAAAHxc7xk=")</f>
        <v>#REF!</v>
      </c>
      <c r="AA19" t="e">
        <f>AND(#REF!,"AAAAAHxc7xo=")</f>
        <v>#REF!</v>
      </c>
      <c r="AB19" t="e">
        <f>AND(#REF!,"AAAAAHxc7xs=")</f>
        <v>#REF!</v>
      </c>
      <c r="AC19" t="e">
        <f>AND(#REF!,"AAAAAHxc7xw=")</f>
        <v>#REF!</v>
      </c>
      <c r="AD19" t="e">
        <f>AND(#REF!,"AAAAAHxc7x0=")</f>
        <v>#REF!</v>
      </c>
      <c r="AE19" t="e">
        <f>AND(#REF!,"AAAAAHxc7x4=")</f>
        <v>#REF!</v>
      </c>
      <c r="AF19" t="e">
        <f>AND(#REF!,"AAAAAHxc7x8=")</f>
        <v>#REF!</v>
      </c>
      <c r="AG19" t="e">
        <f>AND(#REF!,"AAAAAHxc7yA=")</f>
        <v>#REF!</v>
      </c>
      <c r="AH19" t="e">
        <f>AND(#REF!,"AAAAAHxc7yE=")</f>
        <v>#REF!</v>
      </c>
      <c r="AI19" t="e">
        <f>AND(#REF!,"AAAAAHxc7yI=")</f>
        <v>#REF!</v>
      </c>
      <c r="AJ19" t="e">
        <f>AND(#REF!,"AAAAAHxc7yM=")</f>
        <v>#REF!</v>
      </c>
      <c r="AK19" t="e">
        <f>AND(#REF!,"AAAAAHxc7yQ=")</f>
        <v>#REF!</v>
      </c>
      <c r="AL19" t="e">
        <f>AND(#REF!,"AAAAAHxc7yU=")</f>
        <v>#REF!</v>
      </c>
      <c r="AM19" t="e">
        <f>IF(#REF!,"AAAAAHxc7yY=",0)</f>
        <v>#REF!</v>
      </c>
      <c r="AN19" t="e">
        <f>IF(#REF!,"AAAAAHxc7yc=",0)</f>
        <v>#REF!</v>
      </c>
      <c r="AO19" t="e">
        <f>IF(#REF!,"AAAAAHxc7yg=",0)</f>
        <v>#REF!</v>
      </c>
      <c r="AP19" t="e">
        <f>IF(#REF!,"AAAAAHxc7yk=",0)</f>
        <v>#REF!</v>
      </c>
      <c r="AQ19" t="e">
        <f>IF(#REF!,"AAAAAHxc7yo=",0)</f>
        <v>#REF!</v>
      </c>
      <c r="AR19" t="e">
        <f>IF(#REF!,"AAAAAHxc7ys=",0)</f>
        <v>#REF!</v>
      </c>
      <c r="AS19" t="e">
        <f>IF(#REF!,"AAAAAHxc7yw=",0)</f>
        <v>#REF!</v>
      </c>
      <c r="AT19" t="e">
        <f>IF(#REF!,"AAAAAHxc7y0=",0)</f>
        <v>#REF!</v>
      </c>
      <c r="AU19" t="e">
        <f>IF(#REF!,"AAAAAHxc7y4=",0)</f>
        <v>#REF!</v>
      </c>
      <c r="AV19" t="e">
        <f>IF(#REF!,"AAAAAHxc7y8=",0)</f>
        <v>#REF!</v>
      </c>
      <c r="AW19" t="e">
        <f>IF(#REF!,"AAAAAHxc7zA=",0)</f>
        <v>#REF!</v>
      </c>
      <c r="AX19" t="e">
        <f>IF(#REF!,"AAAAAHxc7zE=",0)</f>
        <v>#REF!</v>
      </c>
      <c r="AY19" t="e">
        <f>IF(#REF!,"AAAAAHxc7zI=",0)</f>
        <v>#REF!</v>
      </c>
      <c r="AZ19" t="e">
        <f>IF(#REF!,"AAAAAHxc7zM=",0)</f>
        <v>#REF!</v>
      </c>
      <c r="BA19" t="e">
        <f>IF(#REF!,"AAAAAHxc7zQ=",0)</f>
        <v>#REF!</v>
      </c>
      <c r="BB19" t="e">
        <f>IF(#REF!,"AAAAAHxc7zU=",0)</f>
        <v>#REF!</v>
      </c>
      <c r="BC19" t="e">
        <f>IF(#REF!,"AAAAAHxc7zY=",0)</f>
        <v>#REF!</v>
      </c>
      <c r="BD19" t="e">
        <f>IF(#REF!,"AAAAAHxc7zc=",0)</f>
        <v>#REF!</v>
      </c>
      <c r="BE19" t="e">
        <f>IF(#REF!,"AAAAAHxc7zg=",0)</f>
        <v>#REF!</v>
      </c>
      <c r="BF19" t="e">
        <f>IF(#REF!,"AAAAAHxc7zk=",0)</f>
        <v>#REF!</v>
      </c>
      <c r="BG19" t="e">
        <f>IF(#REF!,"AAAAAHxc7zo=",0)</f>
        <v>#REF!</v>
      </c>
      <c r="BH19" t="e">
        <f>IF(#REF!,"AAAAAHxc7zs=",0)</f>
        <v>#REF!</v>
      </c>
      <c r="BI19" t="e">
        <f>IF(#REF!,"AAAAAHxc7zw=",0)</f>
        <v>#REF!</v>
      </c>
      <c r="BJ19" t="e">
        <f>IF(#REF!,"AAAAAHxc7z0=",0)</f>
        <v>#REF!</v>
      </c>
      <c r="BK19" t="e">
        <f>IF(#REF!,"AAAAAHxc7z4=",0)</f>
        <v>#REF!</v>
      </c>
      <c r="BL19" t="e">
        <f>IF(#REF!,"AAAAAHxc7z8=",0)</f>
        <v>#REF!</v>
      </c>
      <c r="BM19" t="e">
        <f>IF(#REF!,"AAAAAHxc70A=",0)</f>
        <v>#REF!</v>
      </c>
      <c r="BN19" t="e">
        <f>IF(#REF!,"AAAAAHxc70E=",0)</f>
        <v>#REF!</v>
      </c>
      <c r="BO19" t="e">
        <f>IF(#REF!,"AAAAAHxc70I=",0)</f>
        <v>#REF!</v>
      </c>
      <c r="BP19" t="e">
        <f>IF(#REF!,"AAAAAHxc70M=",0)</f>
        <v>#REF!</v>
      </c>
      <c r="BQ19" t="e">
        <f>IF(#REF!,"AAAAAHxc70Q=",0)</f>
        <v>#REF!</v>
      </c>
      <c r="BR19" t="e">
        <f>IF(#REF!,"AAAAAHxc70U=",0)</f>
        <v>#REF!</v>
      </c>
      <c r="BS19" t="e">
        <f>IF(#REF!,"AAAAAHxc70Y=",0)</f>
        <v>#REF!</v>
      </c>
      <c r="BT19" t="e">
        <f>IF(#REF!,"AAAAAHxc70c=",0)</f>
        <v>#REF!</v>
      </c>
      <c r="BU19" t="e">
        <f>IF(#REF!,"AAAAAHxc70g=",0)</f>
        <v>#REF!</v>
      </c>
      <c r="BV19" t="e">
        <f>IF(#REF!,"AAAAAHxc70k=",0)</f>
        <v>#REF!</v>
      </c>
      <c r="BW19" t="e">
        <f>IF(#REF!,"AAAAAHxc70o=",0)</f>
        <v>#REF!</v>
      </c>
      <c r="BX19" t="e">
        <f>IF(#REF!,"AAAAAHxc70s=",0)</f>
        <v>#REF!</v>
      </c>
      <c r="BY19" t="e">
        <f>IF(#REF!,"AAAAAHxc70w=",0)</f>
        <v>#REF!</v>
      </c>
      <c r="BZ19" t="e">
        <f>IF(#REF!,"AAAAAHxc700=",0)</f>
        <v>#REF!</v>
      </c>
      <c r="CA19" t="e">
        <f>IF(#REF!,"AAAAAHxc704=",0)</f>
        <v>#REF!</v>
      </c>
      <c r="CB19" t="e">
        <f>IF(#REF!,"AAAAAHxc708=",0)</f>
        <v>#REF!</v>
      </c>
      <c r="CC19" t="e">
        <f>IF(#REF!,"AAAAAHxc71A=",0)</f>
        <v>#REF!</v>
      </c>
      <c r="CD19" t="e">
        <f>IF(#REF!,"AAAAAHxc71E=",0)</f>
        <v>#REF!</v>
      </c>
      <c r="CE19" t="e">
        <f>IF(#REF!,"AAAAAHxc71I=",0)</f>
        <v>#REF!</v>
      </c>
      <c r="CF19" t="e">
        <f>IF(#REF!,"AAAAAHxc71M=",0)</f>
        <v>#REF!</v>
      </c>
      <c r="CG19" t="e">
        <f>IF(#REF!,"AAAAAHxc71Q=",0)</f>
        <v>#REF!</v>
      </c>
      <c r="CH19" t="e">
        <f>IF(#REF!,"AAAAAHxc71U=",0)</f>
        <v>#REF!</v>
      </c>
      <c r="CI19" t="e">
        <f>IF(#REF!,"AAAAAHxc71Y=",0)</f>
        <v>#REF!</v>
      </c>
      <c r="CJ19" t="e">
        <f>IF(#REF!,"AAAAAHxc71c=",0)</f>
        <v>#REF!</v>
      </c>
      <c r="CK19" s="1" t="s">
        <v>6</v>
      </c>
      <c r="CL19" t="s">
        <v>7</v>
      </c>
      <c r="CM19" s="2" t="s">
        <v>8</v>
      </c>
      <c r="CN19" s="3" t="s">
        <v>9</v>
      </c>
      <c r="CO19" s="4" t="s">
        <v>10</v>
      </c>
      <c r="CP19" t="e">
        <f>IF("N",[0]!_xlnm._FilterDatabase,"AAAAAHxc710=")</f>
        <v>#VALUE!</v>
      </c>
      <c r="CQ19" t="e">
        <f>IF("N",[0]!_xlnm.Print_Area,"AAAAAHxc714=")</f>
        <v>#VALUE!</v>
      </c>
      <c r="CR19" t="e">
        <f>IF("N",WeightedComposition_Original,"AAAAAHxc718=")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Citywide_MainSort</vt:lpstr>
      <vt:lpstr>Bronx_MainSort</vt:lpstr>
      <vt:lpstr>Brooklyn_MainSort</vt:lpstr>
      <vt:lpstr>Manhattan_MainSort</vt:lpstr>
      <vt:lpstr>Queens_MainSort</vt:lpstr>
      <vt:lpstr>StatenIsland_MainSort</vt:lpstr>
      <vt:lpstr>Citywide_MainSort!Print_Area</vt:lpstr>
    </vt:vector>
  </TitlesOfParts>
  <Company>Cascadia Consulting Group,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hillary</dc:creator>
  <cp:lastModifiedBy>DSNY</cp:lastModifiedBy>
  <cp:lastPrinted>2014-03-03T17:22:51Z</cp:lastPrinted>
  <dcterms:created xsi:type="dcterms:W3CDTF">2005-10-17T17:38:51Z</dcterms:created>
  <dcterms:modified xsi:type="dcterms:W3CDTF">2017-12-12T16:01:46Z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Tracking">
    <vt:lpwstr>true</vt:lpwstr>
  </property>
  <property fmtid="{D5CDD505-2E9C-101B-9397-08002B2CF9AE}" pid="3" name="Google.Documents.DocumentId">
    <vt:lpwstr>1jhWcUBY3tp9X1UeIx4piMeLifmX76ClpJrZN_FT9LU4</vt:lpwstr>
  </property>
  <property fmtid="{D5CDD505-2E9C-101B-9397-08002B2CF9AE}" pid="4" name="Google.Documents.RevisionId">
    <vt:lpwstr>08258104899233113101</vt:lpwstr>
  </property>
  <property fmtid="{D5CDD505-2E9C-101B-9397-08002B2CF9AE}" pid="5" name="Google.Documents.PluginVersion">
    <vt:lpwstr>2.0.2026.3768</vt:lpwstr>
  </property>
  <property fmtid="{D5CDD505-2E9C-101B-9397-08002B2CF9AE}" pid="6" name="Google.Documents.MergeIncapabilityFlags">
    <vt:i4>0</vt:i4>
  </property>
</Properties>
</file>