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trapanese1\Desktop\"/>
    </mc:Choice>
  </mc:AlternateContent>
  <bookViews>
    <workbookView xWindow="0" yWindow="0" windowWidth="28800" windowHeight="12435" tabRatio="868" firstSheet="1" activeTab="1"/>
  </bookViews>
  <sheets>
    <sheet name="DV-IDENTITY-0" sheetId="6" state="veryHidden" r:id="rId1"/>
    <sheet name="City_BottleCanCartonSubsort" sheetId="9" r:id="rId2"/>
    <sheet name="City_ResinSubsort" sheetId="10" r:id="rId3"/>
    <sheet name="BX_BottleCanCartonSubsort" sheetId="12" r:id="rId4"/>
    <sheet name="BX_ResinSubsort" sheetId="11" r:id="rId5"/>
    <sheet name="BK_BottleCanCartonSubsort" sheetId="13" r:id="rId6"/>
    <sheet name="BK_ResinSubsort" sheetId="14" r:id="rId7"/>
    <sheet name="MN_BottleCanCartonSubsort" sheetId="15" r:id="rId8"/>
    <sheet name="MN_ResinSubsort" sheetId="16" r:id="rId9"/>
    <sheet name="QN_BottleCanCartonSubsort" sheetId="17" r:id="rId10"/>
    <sheet name="QN_ResinSubsort" sheetId="18" r:id="rId11"/>
    <sheet name="SI_BottleCanCartonSubsort" sheetId="19" r:id="rId12"/>
    <sheet name="SI_ResinSubsort" sheetId="20" r:id="rId13"/>
  </sheets>
  <definedNames>
    <definedName name="_xlnm._FilterDatabase" hidden="1">#REF!</definedName>
    <definedName name="_xlnm.Print_Area" localSheetId="5">BK_BottleCanCartonSubsort!#REF!</definedName>
    <definedName name="_xlnm.Print_Area" localSheetId="6">BK_ResinSubsort!#REF!</definedName>
    <definedName name="_xlnm.Print_Area" localSheetId="3">BX_BottleCanCartonSubsort!#REF!</definedName>
    <definedName name="_xlnm.Print_Area" localSheetId="4">BX_ResinSubsort!#REF!</definedName>
    <definedName name="_xlnm.Print_Area" localSheetId="1">City_BottleCanCartonSubsort!#REF!</definedName>
    <definedName name="_xlnm.Print_Area" localSheetId="2">City_ResinSubsort!#REF!</definedName>
    <definedName name="_xlnm.Print_Area" localSheetId="7">MN_BottleCanCartonSubsort!#REF!</definedName>
    <definedName name="_xlnm.Print_Area" localSheetId="8">MN_ResinSubsort!#REF!</definedName>
    <definedName name="_xlnm.Print_Area" localSheetId="9">QN_BottleCanCartonSubsort!#REF!</definedName>
    <definedName name="_xlnm.Print_Area" localSheetId="10">QN_ResinSubsort!#REF!</definedName>
    <definedName name="_xlnm.Print_Area" localSheetId="11">SI_BottleCanCartonSubsort!#REF!</definedName>
    <definedName name="_xlnm.Print_Area" localSheetId="12">SI_ResinSubsort!#REF!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IV9" i="6" l="1"/>
  <c r="A19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N19" i="6"/>
  <c r="BP19" i="6"/>
  <c r="BR19" i="6"/>
  <c r="BS19" i="6"/>
  <c r="BT19" i="6"/>
  <c r="BU19" i="6"/>
  <c r="BY19" i="6"/>
  <c r="CA19" i="6"/>
  <c r="CC19" i="6"/>
  <c r="CD19" i="6"/>
  <c r="CE19" i="6"/>
  <c r="CF19" i="6"/>
  <c r="CG19" i="6"/>
  <c r="CH19" i="6"/>
  <c r="CP19" i="6"/>
  <c r="CQ19" i="6"/>
  <c r="CR19" i="6"/>
  <c r="A18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CY18" i="6"/>
  <c r="CZ18" i="6"/>
  <c r="DA18" i="6"/>
  <c r="DB18" i="6"/>
  <c r="DC18" i="6"/>
  <c r="DD18" i="6"/>
  <c r="DE18" i="6"/>
  <c r="DF18" i="6"/>
  <c r="DG18" i="6"/>
  <c r="DH18" i="6"/>
  <c r="DI18" i="6"/>
  <c r="DJ18" i="6"/>
  <c r="DK18" i="6"/>
  <c r="DL18" i="6"/>
  <c r="DM18" i="6"/>
  <c r="DN18" i="6"/>
  <c r="DO18" i="6"/>
  <c r="DP18" i="6"/>
  <c r="DQ18" i="6"/>
  <c r="DR18" i="6"/>
  <c r="DS18" i="6"/>
  <c r="DT18" i="6"/>
  <c r="DU18" i="6"/>
  <c r="DV18" i="6"/>
  <c r="DW18" i="6"/>
  <c r="DX18" i="6"/>
  <c r="DY18" i="6"/>
  <c r="DZ18" i="6"/>
  <c r="EA18" i="6"/>
  <c r="EB18" i="6"/>
  <c r="EC18" i="6"/>
  <c r="ED18" i="6"/>
  <c r="EE18" i="6"/>
  <c r="EF18" i="6"/>
  <c r="EG18" i="6"/>
  <c r="EH18" i="6"/>
  <c r="EI18" i="6"/>
  <c r="EJ18" i="6"/>
  <c r="EK18" i="6"/>
  <c r="EL18" i="6"/>
  <c r="EM18" i="6"/>
  <c r="EN18" i="6"/>
  <c r="EO18" i="6"/>
  <c r="EP18" i="6"/>
  <c r="EQ18" i="6"/>
  <c r="ER18" i="6"/>
  <c r="ES18" i="6"/>
  <c r="ET18" i="6"/>
  <c r="EU18" i="6"/>
  <c r="EV18" i="6"/>
  <c r="EW18" i="6"/>
  <c r="EX18" i="6"/>
  <c r="EY18" i="6"/>
  <c r="EZ18" i="6"/>
  <c r="FA18" i="6"/>
  <c r="FB18" i="6"/>
  <c r="FC18" i="6"/>
  <c r="FD18" i="6"/>
  <c r="FE18" i="6"/>
  <c r="FF18" i="6"/>
  <c r="FG18" i="6"/>
  <c r="FH18" i="6"/>
  <c r="FI18" i="6"/>
  <c r="FJ18" i="6"/>
  <c r="FK18" i="6"/>
  <c r="FL18" i="6"/>
  <c r="FM18" i="6"/>
  <c r="FN18" i="6"/>
  <c r="FO18" i="6"/>
  <c r="FP18" i="6"/>
  <c r="FQ18" i="6"/>
  <c r="FR18" i="6"/>
  <c r="FS18" i="6"/>
  <c r="FT18" i="6"/>
  <c r="FU18" i="6"/>
  <c r="FV18" i="6"/>
  <c r="FW18" i="6"/>
  <c r="FX18" i="6"/>
  <c r="FY18" i="6"/>
  <c r="FZ18" i="6"/>
  <c r="GA18" i="6"/>
  <c r="GB18" i="6"/>
  <c r="GC18" i="6"/>
  <c r="GD18" i="6"/>
  <c r="GE18" i="6"/>
  <c r="GF18" i="6"/>
  <c r="GG18" i="6"/>
  <c r="GH18" i="6"/>
  <c r="GI18" i="6"/>
  <c r="GJ18" i="6"/>
  <c r="GK18" i="6"/>
  <c r="GL18" i="6"/>
  <c r="GM18" i="6"/>
  <c r="GN18" i="6"/>
  <c r="GO18" i="6"/>
  <c r="GP18" i="6"/>
  <c r="GQ18" i="6"/>
  <c r="GR18" i="6"/>
  <c r="GS18" i="6"/>
  <c r="GT18" i="6"/>
  <c r="GU18" i="6"/>
  <c r="GV18" i="6"/>
  <c r="GW18" i="6"/>
  <c r="GX18" i="6"/>
  <c r="GY18" i="6"/>
  <c r="GZ18" i="6"/>
  <c r="HA18" i="6"/>
  <c r="HB18" i="6"/>
  <c r="HC18" i="6"/>
  <c r="HD18" i="6"/>
  <c r="HE18" i="6"/>
  <c r="HF18" i="6"/>
  <c r="HG18" i="6"/>
  <c r="HH18" i="6"/>
  <c r="HI18" i="6"/>
  <c r="HJ18" i="6"/>
  <c r="HK18" i="6"/>
  <c r="HL18" i="6"/>
  <c r="HM18" i="6"/>
  <c r="HN18" i="6"/>
  <c r="HO18" i="6"/>
  <c r="HP18" i="6"/>
  <c r="HQ18" i="6"/>
  <c r="HR18" i="6"/>
  <c r="HS18" i="6"/>
  <c r="HT18" i="6"/>
  <c r="HU18" i="6"/>
  <c r="HV18" i="6"/>
  <c r="HW18" i="6"/>
  <c r="HX18" i="6"/>
  <c r="HY18" i="6"/>
  <c r="HZ18" i="6"/>
  <c r="IA18" i="6"/>
  <c r="IB18" i="6"/>
  <c r="IC18" i="6"/>
  <c r="ID18" i="6"/>
  <c r="IE18" i="6"/>
  <c r="IF18" i="6"/>
  <c r="IG18" i="6"/>
  <c r="IH18" i="6"/>
  <c r="II18" i="6"/>
  <c r="IJ18" i="6"/>
  <c r="IK18" i="6"/>
  <c r="IL18" i="6"/>
  <c r="IM18" i="6"/>
  <c r="IN18" i="6"/>
  <c r="IO18" i="6"/>
  <c r="IP18" i="6"/>
  <c r="IQ18" i="6"/>
  <c r="IR18" i="6"/>
  <c r="IS18" i="6"/>
  <c r="IT18" i="6"/>
  <c r="IU18" i="6"/>
  <c r="IV18" i="6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CY17" i="6"/>
  <c r="CZ17" i="6"/>
  <c r="DA17" i="6"/>
  <c r="DB17" i="6"/>
  <c r="DC17" i="6"/>
  <c r="DD17" i="6"/>
  <c r="DE17" i="6"/>
  <c r="DF17" i="6"/>
  <c r="DG17" i="6"/>
  <c r="DH17" i="6"/>
  <c r="DI17" i="6"/>
  <c r="DJ17" i="6"/>
  <c r="DK17" i="6"/>
  <c r="DL17" i="6"/>
  <c r="DM17" i="6"/>
  <c r="DN17" i="6"/>
  <c r="DO17" i="6"/>
  <c r="DP17" i="6"/>
  <c r="DQ17" i="6"/>
  <c r="DR17" i="6"/>
  <c r="DS17" i="6"/>
  <c r="DT17" i="6"/>
  <c r="DU17" i="6"/>
  <c r="DV17" i="6"/>
  <c r="DW17" i="6"/>
  <c r="DX17" i="6"/>
  <c r="DY17" i="6"/>
  <c r="DZ17" i="6"/>
  <c r="EA17" i="6"/>
  <c r="EB17" i="6"/>
  <c r="EC17" i="6"/>
  <c r="ED17" i="6"/>
  <c r="EE17" i="6"/>
  <c r="EF17" i="6"/>
  <c r="EG17" i="6"/>
  <c r="EH17" i="6"/>
  <c r="EI17" i="6"/>
  <c r="EJ17" i="6"/>
  <c r="EK17" i="6"/>
  <c r="EL17" i="6"/>
  <c r="EM17" i="6"/>
  <c r="EN17" i="6"/>
  <c r="EO17" i="6"/>
  <c r="EP17" i="6"/>
  <c r="EQ17" i="6"/>
  <c r="ER17" i="6"/>
  <c r="ES17" i="6"/>
  <c r="ET17" i="6"/>
  <c r="EU17" i="6"/>
  <c r="EV17" i="6"/>
  <c r="EW17" i="6"/>
  <c r="EX17" i="6"/>
  <c r="EY17" i="6"/>
  <c r="EZ17" i="6"/>
  <c r="FA17" i="6"/>
  <c r="FB17" i="6"/>
  <c r="FC17" i="6"/>
  <c r="FD17" i="6"/>
  <c r="FE17" i="6"/>
  <c r="FF17" i="6"/>
  <c r="FG17" i="6"/>
  <c r="FH17" i="6"/>
  <c r="FI17" i="6"/>
  <c r="FJ17" i="6"/>
  <c r="FK17" i="6"/>
  <c r="FL17" i="6"/>
  <c r="FM17" i="6"/>
  <c r="FN17" i="6"/>
  <c r="FO17" i="6"/>
  <c r="FP17" i="6"/>
  <c r="FQ17" i="6"/>
  <c r="FR17" i="6"/>
  <c r="FS17" i="6"/>
  <c r="FT17" i="6"/>
  <c r="FU17" i="6"/>
  <c r="FV17" i="6"/>
  <c r="FW17" i="6"/>
  <c r="FX17" i="6"/>
  <c r="FY17" i="6"/>
  <c r="FZ17" i="6"/>
  <c r="GA17" i="6"/>
  <c r="GB17" i="6"/>
  <c r="GC17" i="6"/>
  <c r="GD17" i="6"/>
  <c r="GE17" i="6"/>
  <c r="GF17" i="6"/>
  <c r="GG17" i="6"/>
  <c r="GH17" i="6"/>
  <c r="GI17" i="6"/>
  <c r="GJ17" i="6"/>
  <c r="GK17" i="6"/>
  <c r="GL17" i="6"/>
  <c r="GM17" i="6"/>
  <c r="GN17" i="6"/>
  <c r="GO17" i="6"/>
  <c r="GP17" i="6"/>
  <c r="GQ17" i="6"/>
  <c r="GR17" i="6"/>
  <c r="GS17" i="6"/>
  <c r="GT17" i="6"/>
  <c r="GU17" i="6"/>
  <c r="GV17" i="6"/>
  <c r="GW17" i="6"/>
  <c r="GX17" i="6"/>
  <c r="GY17" i="6"/>
  <c r="GZ17" i="6"/>
  <c r="HA17" i="6"/>
  <c r="HB17" i="6"/>
  <c r="HC17" i="6"/>
  <c r="HD17" i="6"/>
  <c r="HE17" i="6"/>
  <c r="HF17" i="6"/>
  <c r="HG17" i="6"/>
  <c r="HH17" i="6"/>
  <c r="HI17" i="6"/>
  <c r="HJ17" i="6"/>
  <c r="HK17" i="6"/>
  <c r="HL17" i="6"/>
  <c r="HM17" i="6"/>
  <c r="HN17" i="6"/>
  <c r="HO17" i="6"/>
  <c r="HP17" i="6"/>
  <c r="HQ17" i="6"/>
  <c r="HR17" i="6"/>
  <c r="HS17" i="6"/>
  <c r="HT17" i="6"/>
  <c r="HU17" i="6"/>
  <c r="HV17" i="6"/>
  <c r="HW17" i="6"/>
  <c r="HX17" i="6"/>
  <c r="HY17" i="6"/>
  <c r="HZ17" i="6"/>
  <c r="IA17" i="6"/>
  <c r="IB17" i="6"/>
  <c r="IC17" i="6"/>
  <c r="ID17" i="6"/>
  <c r="IE17" i="6"/>
  <c r="IF17" i="6"/>
  <c r="IG17" i="6"/>
  <c r="IH17" i="6"/>
  <c r="II17" i="6"/>
  <c r="IJ17" i="6"/>
  <c r="IK17" i="6"/>
  <c r="IL17" i="6"/>
  <c r="IM17" i="6"/>
  <c r="IN17" i="6"/>
  <c r="IO17" i="6"/>
  <c r="IP17" i="6"/>
  <c r="IQ17" i="6"/>
  <c r="IR17" i="6"/>
  <c r="IS17" i="6"/>
  <c r="IT17" i="6"/>
  <c r="IU17" i="6"/>
  <c r="IV17" i="6"/>
  <c r="A16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H16" i="6"/>
  <c r="EI16" i="6"/>
  <c r="EJ16" i="6"/>
  <c r="EK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FL16" i="6"/>
  <c r="FM16" i="6"/>
  <c r="FN16" i="6"/>
  <c r="FO16" i="6"/>
  <c r="FP16" i="6"/>
  <c r="FQ16" i="6"/>
  <c r="FR16" i="6"/>
  <c r="FS16" i="6"/>
  <c r="FT16" i="6"/>
  <c r="FU16" i="6"/>
  <c r="FV16" i="6"/>
  <c r="FW16" i="6"/>
  <c r="FX16" i="6"/>
  <c r="FY16" i="6"/>
  <c r="FZ16" i="6"/>
  <c r="GA16" i="6"/>
  <c r="GB16" i="6"/>
  <c r="GC16" i="6"/>
  <c r="GD16" i="6"/>
  <c r="GE16" i="6"/>
  <c r="GF16" i="6"/>
  <c r="GG16" i="6"/>
  <c r="GH16" i="6"/>
  <c r="GI16" i="6"/>
  <c r="GJ16" i="6"/>
  <c r="GK16" i="6"/>
  <c r="GL16" i="6"/>
  <c r="GM16" i="6"/>
  <c r="GN16" i="6"/>
  <c r="GO16" i="6"/>
  <c r="GP16" i="6"/>
  <c r="GQ16" i="6"/>
  <c r="GR16" i="6"/>
  <c r="GS16" i="6"/>
  <c r="GT16" i="6"/>
  <c r="GU16" i="6"/>
  <c r="GV16" i="6"/>
  <c r="GW16" i="6"/>
  <c r="GX16" i="6"/>
  <c r="GY16" i="6"/>
  <c r="GZ16" i="6"/>
  <c r="HA16" i="6"/>
  <c r="HB16" i="6"/>
  <c r="HC16" i="6"/>
  <c r="HD16" i="6"/>
  <c r="HE16" i="6"/>
  <c r="HF16" i="6"/>
  <c r="HG16" i="6"/>
  <c r="HH16" i="6"/>
  <c r="HI16" i="6"/>
  <c r="HJ16" i="6"/>
  <c r="HK16" i="6"/>
  <c r="HL16" i="6"/>
  <c r="HM16" i="6"/>
  <c r="HN16" i="6"/>
  <c r="HO16" i="6"/>
  <c r="HP16" i="6"/>
  <c r="HQ16" i="6"/>
  <c r="HR16" i="6"/>
  <c r="HS16" i="6"/>
  <c r="HT16" i="6"/>
  <c r="HU16" i="6"/>
  <c r="HV16" i="6"/>
  <c r="HW16" i="6"/>
  <c r="HX16" i="6"/>
  <c r="HY16" i="6"/>
  <c r="HZ16" i="6"/>
  <c r="IA16" i="6"/>
  <c r="IB16" i="6"/>
  <c r="IC16" i="6"/>
  <c r="ID16" i="6"/>
  <c r="IE16" i="6"/>
  <c r="IF16" i="6"/>
  <c r="IG16" i="6"/>
  <c r="IH16" i="6"/>
  <c r="II16" i="6"/>
  <c r="IJ16" i="6"/>
  <c r="IK16" i="6"/>
  <c r="IL16" i="6"/>
  <c r="IM16" i="6"/>
  <c r="IN16" i="6"/>
  <c r="IO16" i="6"/>
  <c r="IP16" i="6"/>
  <c r="IQ16" i="6"/>
  <c r="IR16" i="6"/>
  <c r="IS16" i="6"/>
  <c r="IT16" i="6"/>
  <c r="IU16" i="6"/>
  <c r="IV16" i="6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IL15" i="6"/>
  <c r="IM15" i="6"/>
  <c r="IN15" i="6"/>
  <c r="IO15" i="6"/>
  <c r="IP15" i="6"/>
  <c r="IQ15" i="6"/>
  <c r="IR15" i="6"/>
  <c r="IS15" i="6"/>
  <c r="IT15" i="6"/>
  <c r="IU15" i="6"/>
  <c r="IV15" i="6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B14" i="6"/>
  <c r="CC14" i="6"/>
  <c r="CD14" i="6"/>
  <c r="CE14" i="6"/>
  <c r="CF14" i="6"/>
  <c r="CG14" i="6"/>
  <c r="CH14" i="6"/>
  <c r="CI14" i="6"/>
  <c r="CJ14" i="6"/>
  <c r="CK14" i="6"/>
  <c r="CL14" i="6"/>
  <c r="CM14" i="6"/>
  <c r="CN14" i="6"/>
  <c r="CO14" i="6"/>
  <c r="CP14" i="6"/>
  <c r="CQ14" i="6"/>
  <c r="CR14" i="6"/>
  <c r="CS14" i="6"/>
  <c r="CT14" i="6"/>
  <c r="CU14" i="6"/>
  <c r="CV14" i="6"/>
  <c r="CW14" i="6"/>
  <c r="CX14" i="6"/>
  <c r="CY14" i="6"/>
  <c r="CZ14" i="6"/>
  <c r="DA14" i="6"/>
  <c r="DB14" i="6"/>
  <c r="DC14" i="6"/>
  <c r="DD14" i="6"/>
  <c r="DE14" i="6"/>
  <c r="DF14" i="6"/>
  <c r="DG14" i="6"/>
  <c r="DH14" i="6"/>
  <c r="DI14" i="6"/>
  <c r="DJ14" i="6"/>
  <c r="DK14" i="6"/>
  <c r="DL14" i="6"/>
  <c r="DM14" i="6"/>
  <c r="DN14" i="6"/>
  <c r="DO14" i="6"/>
  <c r="DP14" i="6"/>
  <c r="DQ14" i="6"/>
  <c r="DR14" i="6"/>
  <c r="DS14" i="6"/>
  <c r="DT14" i="6"/>
  <c r="DU14" i="6"/>
  <c r="DV14" i="6"/>
  <c r="DW14" i="6"/>
  <c r="DX14" i="6"/>
  <c r="DY14" i="6"/>
  <c r="DZ14" i="6"/>
  <c r="EA14" i="6"/>
  <c r="EB14" i="6"/>
  <c r="EC14" i="6"/>
  <c r="ED14" i="6"/>
  <c r="EE14" i="6"/>
  <c r="EF14" i="6"/>
  <c r="EG14" i="6"/>
  <c r="EH14" i="6"/>
  <c r="EI14" i="6"/>
  <c r="EJ14" i="6"/>
  <c r="EK14" i="6"/>
  <c r="EL14" i="6"/>
  <c r="EM14" i="6"/>
  <c r="EN14" i="6"/>
  <c r="EO14" i="6"/>
  <c r="EP14" i="6"/>
  <c r="EQ14" i="6"/>
  <c r="ER14" i="6"/>
  <c r="ES14" i="6"/>
  <c r="ET14" i="6"/>
  <c r="EU14" i="6"/>
  <c r="EV14" i="6"/>
  <c r="EW14" i="6"/>
  <c r="EX14" i="6"/>
  <c r="EY14" i="6"/>
  <c r="EZ14" i="6"/>
  <c r="FA14" i="6"/>
  <c r="FB14" i="6"/>
  <c r="FC14" i="6"/>
  <c r="FD14" i="6"/>
  <c r="FE14" i="6"/>
  <c r="FF14" i="6"/>
  <c r="FG14" i="6"/>
  <c r="FH14" i="6"/>
  <c r="FI14" i="6"/>
  <c r="FJ14" i="6"/>
  <c r="FK14" i="6"/>
  <c r="FL14" i="6"/>
  <c r="FM14" i="6"/>
  <c r="FN14" i="6"/>
  <c r="FO14" i="6"/>
  <c r="FP14" i="6"/>
  <c r="FQ14" i="6"/>
  <c r="FR14" i="6"/>
  <c r="FS14" i="6"/>
  <c r="FT14" i="6"/>
  <c r="FU14" i="6"/>
  <c r="FV14" i="6"/>
  <c r="FW14" i="6"/>
  <c r="FX14" i="6"/>
  <c r="FY14" i="6"/>
  <c r="FZ14" i="6"/>
  <c r="GA14" i="6"/>
  <c r="GB14" i="6"/>
  <c r="GC14" i="6"/>
  <c r="GD14" i="6"/>
  <c r="GE14" i="6"/>
  <c r="GF14" i="6"/>
  <c r="GG14" i="6"/>
  <c r="GH14" i="6"/>
  <c r="GI14" i="6"/>
  <c r="GJ14" i="6"/>
  <c r="GK14" i="6"/>
  <c r="GL14" i="6"/>
  <c r="GM14" i="6"/>
  <c r="GN14" i="6"/>
  <c r="GO14" i="6"/>
  <c r="GP14" i="6"/>
  <c r="GQ14" i="6"/>
  <c r="GR14" i="6"/>
  <c r="GS14" i="6"/>
  <c r="GT14" i="6"/>
  <c r="GU14" i="6"/>
  <c r="GV14" i="6"/>
  <c r="GW14" i="6"/>
  <c r="GX14" i="6"/>
  <c r="GY14" i="6"/>
  <c r="GZ14" i="6"/>
  <c r="HA14" i="6"/>
  <c r="HB14" i="6"/>
  <c r="HC14" i="6"/>
  <c r="HD14" i="6"/>
  <c r="HE14" i="6"/>
  <c r="HF14" i="6"/>
  <c r="HG14" i="6"/>
  <c r="HH14" i="6"/>
  <c r="HI14" i="6"/>
  <c r="HJ14" i="6"/>
  <c r="HK14" i="6"/>
  <c r="HL14" i="6"/>
  <c r="HM14" i="6"/>
  <c r="HN14" i="6"/>
  <c r="HO14" i="6"/>
  <c r="HP14" i="6"/>
  <c r="HQ14" i="6"/>
  <c r="HR14" i="6"/>
  <c r="HS14" i="6"/>
  <c r="HT14" i="6"/>
  <c r="HU14" i="6"/>
  <c r="HV14" i="6"/>
  <c r="HW14" i="6"/>
  <c r="HX14" i="6"/>
  <c r="HY14" i="6"/>
  <c r="HZ14" i="6"/>
  <c r="IA14" i="6"/>
  <c r="IB14" i="6"/>
  <c r="IC14" i="6"/>
  <c r="ID14" i="6"/>
  <c r="IE14" i="6"/>
  <c r="IF14" i="6"/>
  <c r="IG14" i="6"/>
  <c r="IH14" i="6"/>
  <c r="II14" i="6"/>
  <c r="IJ14" i="6"/>
  <c r="IK14" i="6"/>
  <c r="IL14" i="6"/>
  <c r="IM14" i="6"/>
  <c r="IN14" i="6"/>
  <c r="IO14" i="6"/>
  <c r="IP14" i="6"/>
  <c r="IQ14" i="6"/>
  <c r="IR14" i="6"/>
  <c r="IS14" i="6"/>
  <c r="IT14" i="6"/>
  <c r="IU14" i="6"/>
  <c r="IV14" i="6"/>
  <c r="A13" i="6"/>
  <c r="B13" i="6"/>
  <c r="C13" i="6"/>
  <c r="D13" i="6"/>
  <c r="E13" i="6"/>
  <c r="F13" i="6"/>
  <c r="G13" i="6"/>
  <c r="H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CA13" i="6"/>
  <c r="CB13" i="6"/>
  <c r="CC13" i="6"/>
  <c r="CD13" i="6"/>
  <c r="CE13" i="6"/>
  <c r="CF13" i="6"/>
  <c r="CG13" i="6"/>
  <c r="CH13" i="6"/>
  <c r="CI13" i="6"/>
  <c r="CJ13" i="6"/>
  <c r="CK13" i="6"/>
  <c r="CL13" i="6"/>
  <c r="CM13" i="6"/>
  <c r="CN13" i="6"/>
  <c r="CO13" i="6"/>
  <c r="CP13" i="6"/>
  <c r="CQ13" i="6"/>
  <c r="CR13" i="6"/>
  <c r="CS13" i="6"/>
  <c r="CT13" i="6"/>
  <c r="CU13" i="6"/>
  <c r="CV13" i="6"/>
  <c r="CW13" i="6"/>
  <c r="CX13" i="6"/>
  <c r="CY13" i="6"/>
  <c r="CZ13" i="6"/>
  <c r="DA13" i="6"/>
  <c r="DB13" i="6"/>
  <c r="DC13" i="6"/>
  <c r="DD13" i="6"/>
  <c r="DE13" i="6"/>
  <c r="DF13" i="6"/>
  <c r="DG13" i="6"/>
  <c r="DH13" i="6"/>
  <c r="DI13" i="6"/>
  <c r="DJ13" i="6"/>
  <c r="DK13" i="6"/>
  <c r="DL13" i="6"/>
  <c r="DM13" i="6"/>
  <c r="DN13" i="6"/>
  <c r="DO13" i="6"/>
  <c r="DP13" i="6"/>
  <c r="DQ13" i="6"/>
  <c r="DR13" i="6"/>
  <c r="DS13" i="6"/>
  <c r="DT13" i="6"/>
  <c r="DU13" i="6"/>
  <c r="DV13" i="6"/>
  <c r="DW13" i="6"/>
  <c r="DX13" i="6"/>
  <c r="DY13" i="6"/>
  <c r="DZ13" i="6"/>
  <c r="EA13" i="6"/>
  <c r="EB13" i="6"/>
  <c r="EC13" i="6"/>
  <c r="ED13" i="6"/>
  <c r="EE13" i="6"/>
  <c r="EF13" i="6"/>
  <c r="EG13" i="6"/>
  <c r="EH13" i="6"/>
  <c r="EI13" i="6"/>
  <c r="EJ13" i="6"/>
  <c r="EK13" i="6"/>
  <c r="EL13" i="6"/>
  <c r="EM13" i="6"/>
  <c r="EN13" i="6"/>
  <c r="EO13" i="6"/>
  <c r="EP13" i="6"/>
  <c r="EQ13" i="6"/>
  <c r="ER13" i="6"/>
  <c r="ES13" i="6"/>
  <c r="ET13" i="6"/>
  <c r="EU13" i="6"/>
  <c r="EV13" i="6"/>
  <c r="EW13" i="6"/>
  <c r="EX13" i="6"/>
  <c r="EY13" i="6"/>
  <c r="EZ13" i="6"/>
  <c r="FA13" i="6"/>
  <c r="FB13" i="6"/>
  <c r="FC13" i="6"/>
  <c r="FD13" i="6"/>
  <c r="FE13" i="6"/>
  <c r="FF13" i="6"/>
  <c r="FG13" i="6"/>
  <c r="FH13" i="6"/>
  <c r="FI13" i="6"/>
  <c r="FJ13" i="6"/>
  <c r="FK13" i="6"/>
  <c r="FL13" i="6"/>
  <c r="FM13" i="6"/>
  <c r="FN13" i="6"/>
  <c r="FO13" i="6"/>
  <c r="FP13" i="6"/>
  <c r="FQ13" i="6"/>
  <c r="FR13" i="6"/>
  <c r="FS13" i="6"/>
  <c r="FT13" i="6"/>
  <c r="FU13" i="6"/>
  <c r="FV13" i="6"/>
  <c r="FW13" i="6"/>
  <c r="FX13" i="6"/>
  <c r="FY13" i="6"/>
  <c r="FZ13" i="6"/>
  <c r="GA13" i="6"/>
  <c r="GB13" i="6"/>
  <c r="GC13" i="6"/>
  <c r="GD13" i="6"/>
  <c r="GE13" i="6"/>
  <c r="GF13" i="6"/>
  <c r="GG13" i="6"/>
  <c r="GH13" i="6"/>
  <c r="GI13" i="6"/>
  <c r="GJ13" i="6"/>
  <c r="GK13" i="6"/>
  <c r="GL13" i="6"/>
  <c r="GM13" i="6"/>
  <c r="GN13" i="6"/>
  <c r="GO13" i="6"/>
  <c r="GP13" i="6"/>
  <c r="GQ13" i="6"/>
  <c r="GR13" i="6"/>
  <c r="GS13" i="6"/>
  <c r="GT13" i="6"/>
  <c r="GU13" i="6"/>
  <c r="GV13" i="6"/>
  <c r="GW13" i="6"/>
  <c r="GX13" i="6"/>
  <c r="GY13" i="6"/>
  <c r="GZ13" i="6"/>
  <c r="HA13" i="6"/>
  <c r="HB13" i="6"/>
  <c r="HC13" i="6"/>
  <c r="HD13" i="6"/>
  <c r="HE13" i="6"/>
  <c r="HF13" i="6"/>
  <c r="HG13" i="6"/>
  <c r="HH13" i="6"/>
  <c r="HI13" i="6"/>
  <c r="HJ13" i="6"/>
  <c r="HK13" i="6"/>
  <c r="HL13" i="6"/>
  <c r="HM13" i="6"/>
  <c r="HN13" i="6"/>
  <c r="HO13" i="6"/>
  <c r="HP13" i="6"/>
  <c r="HQ13" i="6"/>
  <c r="HR13" i="6"/>
  <c r="HS13" i="6"/>
  <c r="HT13" i="6"/>
  <c r="HU13" i="6"/>
  <c r="HV13" i="6"/>
  <c r="HW13" i="6"/>
  <c r="HX13" i="6"/>
  <c r="HY13" i="6"/>
  <c r="HZ13" i="6"/>
  <c r="IA13" i="6"/>
  <c r="IB13" i="6"/>
  <c r="IC13" i="6"/>
  <c r="ID13" i="6"/>
  <c r="IE13" i="6"/>
  <c r="IF13" i="6"/>
  <c r="IG13" i="6"/>
  <c r="IH13" i="6"/>
  <c r="II13" i="6"/>
  <c r="IJ13" i="6"/>
  <c r="IK13" i="6"/>
  <c r="IL13" i="6"/>
  <c r="IM13" i="6"/>
  <c r="IN13" i="6"/>
  <c r="IO13" i="6"/>
  <c r="IP13" i="6"/>
  <c r="IQ13" i="6"/>
  <c r="IR13" i="6"/>
  <c r="IS13" i="6"/>
  <c r="IT13" i="6"/>
  <c r="IU13" i="6"/>
  <c r="IV13" i="6"/>
  <c r="A12" i="6"/>
  <c r="B12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CF12" i="6"/>
  <c r="CG12" i="6"/>
  <c r="CH12" i="6"/>
  <c r="CI12" i="6"/>
  <c r="CJ12" i="6"/>
  <c r="CK12" i="6"/>
  <c r="CL12" i="6"/>
  <c r="CM12" i="6"/>
  <c r="CN12" i="6"/>
  <c r="CO12" i="6"/>
  <c r="CP12" i="6"/>
  <c r="CQ12" i="6"/>
  <c r="CR12" i="6"/>
  <c r="CS12" i="6"/>
  <c r="CT12" i="6"/>
  <c r="CU12" i="6"/>
  <c r="CV12" i="6"/>
  <c r="CW12" i="6"/>
  <c r="CX12" i="6"/>
  <c r="CY12" i="6"/>
  <c r="CZ12" i="6"/>
  <c r="DA12" i="6"/>
  <c r="DB12" i="6"/>
  <c r="DC12" i="6"/>
  <c r="DD12" i="6"/>
  <c r="DE12" i="6"/>
  <c r="DF12" i="6"/>
  <c r="DG12" i="6"/>
  <c r="DH12" i="6"/>
  <c r="DI12" i="6"/>
  <c r="DJ12" i="6"/>
  <c r="DK12" i="6"/>
  <c r="DL12" i="6"/>
  <c r="DM12" i="6"/>
  <c r="DN12" i="6"/>
  <c r="DO12" i="6"/>
  <c r="DP12" i="6"/>
  <c r="DQ12" i="6"/>
  <c r="DR12" i="6"/>
  <c r="DS12" i="6"/>
  <c r="DT12" i="6"/>
  <c r="DU12" i="6"/>
  <c r="DV12" i="6"/>
  <c r="DW12" i="6"/>
  <c r="DX12" i="6"/>
  <c r="DY12" i="6"/>
  <c r="DZ12" i="6"/>
  <c r="EA12" i="6"/>
  <c r="EB12" i="6"/>
  <c r="EC12" i="6"/>
  <c r="ED12" i="6"/>
  <c r="EE12" i="6"/>
  <c r="EF12" i="6"/>
  <c r="EG12" i="6"/>
  <c r="EH12" i="6"/>
  <c r="EI12" i="6"/>
  <c r="EJ12" i="6"/>
  <c r="EK12" i="6"/>
  <c r="EL12" i="6"/>
  <c r="EM12" i="6"/>
  <c r="EN12" i="6"/>
  <c r="EO12" i="6"/>
  <c r="EP12" i="6"/>
  <c r="EQ12" i="6"/>
  <c r="ER12" i="6"/>
  <c r="ES12" i="6"/>
  <c r="ET12" i="6"/>
  <c r="EU12" i="6"/>
  <c r="EV12" i="6"/>
  <c r="EW12" i="6"/>
  <c r="EX12" i="6"/>
  <c r="EY12" i="6"/>
  <c r="EZ12" i="6"/>
  <c r="FA12" i="6"/>
  <c r="FB12" i="6"/>
  <c r="FC12" i="6"/>
  <c r="FD12" i="6"/>
  <c r="FE12" i="6"/>
  <c r="FF12" i="6"/>
  <c r="FG12" i="6"/>
  <c r="FH12" i="6"/>
  <c r="FI12" i="6"/>
  <c r="FJ12" i="6"/>
  <c r="FK12" i="6"/>
  <c r="FL12" i="6"/>
  <c r="FM12" i="6"/>
  <c r="FN12" i="6"/>
  <c r="FO12" i="6"/>
  <c r="FP12" i="6"/>
  <c r="FQ12" i="6"/>
  <c r="FR12" i="6"/>
  <c r="FS12" i="6"/>
  <c r="FT12" i="6"/>
  <c r="FU12" i="6"/>
  <c r="FV12" i="6"/>
  <c r="FW12" i="6"/>
  <c r="FX12" i="6"/>
  <c r="FY12" i="6"/>
  <c r="FZ12" i="6"/>
  <c r="GA12" i="6"/>
  <c r="GB12" i="6"/>
  <c r="GC12" i="6"/>
  <c r="GD12" i="6"/>
  <c r="GE12" i="6"/>
  <c r="GF12" i="6"/>
  <c r="GG12" i="6"/>
  <c r="GH12" i="6"/>
  <c r="GI12" i="6"/>
  <c r="GJ12" i="6"/>
  <c r="GK12" i="6"/>
  <c r="GL12" i="6"/>
  <c r="GM12" i="6"/>
  <c r="GN12" i="6"/>
  <c r="GO12" i="6"/>
  <c r="GP12" i="6"/>
  <c r="GQ12" i="6"/>
  <c r="GR12" i="6"/>
  <c r="GS12" i="6"/>
  <c r="GT12" i="6"/>
  <c r="GU12" i="6"/>
  <c r="GV12" i="6"/>
  <c r="GW12" i="6"/>
  <c r="GX12" i="6"/>
  <c r="GY12" i="6"/>
  <c r="GZ12" i="6"/>
  <c r="HA12" i="6"/>
  <c r="HB12" i="6"/>
  <c r="HC12" i="6"/>
  <c r="HD12" i="6"/>
  <c r="HE12" i="6"/>
  <c r="HF12" i="6"/>
  <c r="HG12" i="6"/>
  <c r="HH12" i="6"/>
  <c r="HI12" i="6"/>
  <c r="HJ12" i="6"/>
  <c r="HK12" i="6"/>
  <c r="HL12" i="6"/>
  <c r="HM12" i="6"/>
  <c r="HN12" i="6"/>
  <c r="HO12" i="6"/>
  <c r="HP12" i="6"/>
  <c r="HQ12" i="6"/>
  <c r="HR12" i="6"/>
  <c r="HS12" i="6"/>
  <c r="HT12" i="6"/>
  <c r="HU12" i="6"/>
  <c r="HV12" i="6"/>
  <c r="HW12" i="6"/>
  <c r="HX12" i="6"/>
  <c r="HY12" i="6"/>
  <c r="HZ12" i="6"/>
  <c r="IA12" i="6"/>
  <c r="IB12" i="6"/>
  <c r="IC12" i="6"/>
  <c r="ID12" i="6"/>
  <c r="IE12" i="6"/>
  <c r="IF12" i="6"/>
  <c r="IG12" i="6"/>
  <c r="IH12" i="6"/>
  <c r="II12" i="6"/>
  <c r="IJ12" i="6"/>
  <c r="IK12" i="6"/>
  <c r="IL12" i="6"/>
  <c r="IM12" i="6"/>
  <c r="IN12" i="6"/>
  <c r="IO12" i="6"/>
  <c r="IP12" i="6"/>
  <c r="IQ12" i="6"/>
  <c r="IR12" i="6"/>
  <c r="IS12" i="6"/>
  <c r="IT12" i="6"/>
  <c r="IU12" i="6"/>
  <c r="IV12" i="6"/>
  <c r="A11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E11" i="6"/>
  <c r="CF11" i="6"/>
  <c r="CG11" i="6"/>
  <c r="CH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U11" i="6"/>
  <c r="CV11" i="6"/>
  <c r="CW11" i="6"/>
  <c r="CX11" i="6"/>
  <c r="CY11" i="6"/>
  <c r="CZ11" i="6"/>
  <c r="DA11" i="6"/>
  <c r="DB11" i="6"/>
  <c r="DC11" i="6"/>
  <c r="DD11" i="6"/>
  <c r="DE11" i="6"/>
  <c r="DF11" i="6"/>
  <c r="DG11" i="6"/>
  <c r="DH11" i="6"/>
  <c r="DI11" i="6"/>
  <c r="DJ11" i="6"/>
  <c r="DK11" i="6"/>
  <c r="DL11" i="6"/>
  <c r="DM11" i="6"/>
  <c r="DN11" i="6"/>
  <c r="DO11" i="6"/>
  <c r="DP11" i="6"/>
  <c r="DQ11" i="6"/>
  <c r="DR11" i="6"/>
  <c r="DS11" i="6"/>
  <c r="DT11" i="6"/>
  <c r="DU11" i="6"/>
  <c r="DV11" i="6"/>
  <c r="DW11" i="6"/>
  <c r="DX11" i="6"/>
  <c r="DY11" i="6"/>
  <c r="DZ11" i="6"/>
  <c r="EA11" i="6"/>
  <c r="EB11" i="6"/>
  <c r="EC11" i="6"/>
  <c r="ED11" i="6"/>
  <c r="EE11" i="6"/>
  <c r="EF11" i="6"/>
  <c r="EG11" i="6"/>
  <c r="EH11" i="6"/>
  <c r="EI11" i="6"/>
  <c r="EJ11" i="6"/>
  <c r="EK11" i="6"/>
  <c r="EL11" i="6"/>
  <c r="EM11" i="6"/>
  <c r="EN11" i="6"/>
  <c r="EO11" i="6"/>
  <c r="EP11" i="6"/>
  <c r="EQ11" i="6"/>
  <c r="ER11" i="6"/>
  <c r="ES11" i="6"/>
  <c r="ET11" i="6"/>
  <c r="EU11" i="6"/>
  <c r="EV11" i="6"/>
  <c r="EW11" i="6"/>
  <c r="EX11" i="6"/>
  <c r="EY11" i="6"/>
  <c r="EZ11" i="6"/>
  <c r="FA11" i="6"/>
  <c r="FB11" i="6"/>
  <c r="FC11" i="6"/>
  <c r="FD11" i="6"/>
  <c r="FE11" i="6"/>
  <c r="FF11" i="6"/>
  <c r="FG11" i="6"/>
  <c r="FH11" i="6"/>
  <c r="FI11" i="6"/>
  <c r="FJ11" i="6"/>
  <c r="FK11" i="6"/>
  <c r="FL11" i="6"/>
  <c r="FM11" i="6"/>
  <c r="FN11" i="6"/>
  <c r="FO11" i="6"/>
  <c r="FP11" i="6"/>
  <c r="FQ11" i="6"/>
  <c r="FR11" i="6"/>
  <c r="FS11" i="6"/>
  <c r="FT11" i="6"/>
  <c r="FU11" i="6"/>
  <c r="FV11" i="6"/>
  <c r="FW11" i="6"/>
  <c r="FX11" i="6"/>
  <c r="FY11" i="6"/>
  <c r="FZ11" i="6"/>
  <c r="GA11" i="6"/>
  <c r="GB11" i="6"/>
  <c r="GC11" i="6"/>
  <c r="GD11" i="6"/>
  <c r="GE11" i="6"/>
  <c r="GF11" i="6"/>
  <c r="GG11" i="6"/>
  <c r="GH11" i="6"/>
  <c r="GI11" i="6"/>
  <c r="GJ11" i="6"/>
  <c r="GK11" i="6"/>
  <c r="GL11" i="6"/>
  <c r="GM11" i="6"/>
  <c r="GN11" i="6"/>
  <c r="GO11" i="6"/>
  <c r="GP11" i="6"/>
  <c r="GQ11" i="6"/>
  <c r="GR11" i="6"/>
  <c r="GS11" i="6"/>
  <c r="GT11" i="6"/>
  <c r="GU11" i="6"/>
  <c r="GV11" i="6"/>
  <c r="GW11" i="6"/>
  <c r="GX11" i="6"/>
  <c r="GY11" i="6"/>
  <c r="GZ11" i="6"/>
  <c r="HA11" i="6"/>
  <c r="HB11" i="6"/>
  <c r="HC11" i="6"/>
  <c r="HD11" i="6"/>
  <c r="HE11" i="6"/>
  <c r="HF11" i="6"/>
  <c r="HG11" i="6"/>
  <c r="HH11" i="6"/>
  <c r="HI11" i="6"/>
  <c r="HJ11" i="6"/>
  <c r="HK11" i="6"/>
  <c r="HL11" i="6"/>
  <c r="HM11" i="6"/>
  <c r="HN11" i="6"/>
  <c r="HO11" i="6"/>
  <c r="HP11" i="6"/>
  <c r="HQ11" i="6"/>
  <c r="HR11" i="6"/>
  <c r="HS11" i="6"/>
  <c r="HT11" i="6"/>
  <c r="HU11" i="6"/>
  <c r="HV11" i="6"/>
  <c r="HW11" i="6"/>
  <c r="HX11" i="6"/>
  <c r="HY11" i="6"/>
  <c r="HZ11" i="6"/>
  <c r="IA11" i="6"/>
  <c r="IB11" i="6"/>
  <c r="IC11" i="6"/>
  <c r="ID11" i="6"/>
  <c r="IE11" i="6"/>
  <c r="IF11" i="6"/>
  <c r="IG11" i="6"/>
  <c r="IH11" i="6"/>
  <c r="II11" i="6"/>
  <c r="IJ11" i="6"/>
  <c r="IK11" i="6"/>
  <c r="IL11" i="6"/>
  <c r="IM11" i="6"/>
  <c r="IN11" i="6"/>
  <c r="IO11" i="6"/>
  <c r="IP11" i="6"/>
  <c r="IQ11" i="6"/>
  <c r="IR11" i="6"/>
  <c r="IS11" i="6"/>
  <c r="IT11" i="6"/>
  <c r="IU11" i="6"/>
  <c r="IV11" i="6"/>
  <c r="C10" i="6"/>
  <c r="D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BZ10" i="6"/>
  <c r="CA10" i="6"/>
  <c r="CB10" i="6"/>
  <c r="CC10" i="6"/>
  <c r="CD10" i="6"/>
  <c r="CE10" i="6"/>
  <c r="CF10" i="6"/>
  <c r="CG10" i="6"/>
  <c r="CH10" i="6"/>
  <c r="CI10" i="6"/>
  <c r="CJ10" i="6"/>
  <c r="CK10" i="6"/>
  <c r="CL10" i="6"/>
  <c r="CM10" i="6"/>
  <c r="CN10" i="6"/>
  <c r="CO10" i="6"/>
  <c r="CP10" i="6"/>
  <c r="CQ10" i="6"/>
  <c r="CR10" i="6"/>
  <c r="CS10" i="6"/>
  <c r="CT10" i="6"/>
  <c r="CU10" i="6"/>
  <c r="CV10" i="6"/>
  <c r="CW10" i="6"/>
  <c r="CX10" i="6"/>
  <c r="CY10" i="6"/>
  <c r="CZ10" i="6"/>
  <c r="DA10" i="6"/>
  <c r="DB10" i="6"/>
  <c r="DC10" i="6"/>
  <c r="DD10" i="6"/>
  <c r="DE10" i="6"/>
  <c r="DF10" i="6"/>
  <c r="DG10" i="6"/>
  <c r="DH10" i="6"/>
  <c r="DI10" i="6"/>
  <c r="DJ10" i="6"/>
  <c r="DK10" i="6"/>
  <c r="DL10" i="6"/>
  <c r="DM10" i="6"/>
  <c r="DN10" i="6"/>
  <c r="DO10" i="6"/>
  <c r="DP10" i="6"/>
  <c r="DQ10" i="6"/>
  <c r="DR10" i="6"/>
  <c r="DS10" i="6"/>
  <c r="DT10" i="6"/>
  <c r="DU10" i="6"/>
  <c r="DV10" i="6"/>
  <c r="DW10" i="6"/>
  <c r="DX10" i="6"/>
  <c r="DY10" i="6"/>
  <c r="DZ10" i="6"/>
  <c r="EA10" i="6"/>
  <c r="EB10" i="6"/>
  <c r="EC10" i="6"/>
  <c r="ED10" i="6"/>
  <c r="EE10" i="6"/>
  <c r="EF10" i="6"/>
  <c r="EG10" i="6"/>
  <c r="EH10" i="6"/>
  <c r="EI10" i="6"/>
  <c r="EJ10" i="6"/>
  <c r="EK10" i="6"/>
  <c r="EL10" i="6"/>
  <c r="EM10" i="6"/>
  <c r="EN10" i="6"/>
  <c r="EO10" i="6"/>
  <c r="EP10" i="6"/>
  <c r="EQ10" i="6"/>
  <c r="ER10" i="6"/>
  <c r="ES10" i="6"/>
  <c r="ET10" i="6"/>
  <c r="EU10" i="6"/>
  <c r="EV10" i="6"/>
  <c r="EW10" i="6"/>
  <c r="EX10" i="6"/>
  <c r="EY10" i="6"/>
  <c r="EZ10" i="6"/>
  <c r="FA10" i="6"/>
  <c r="FB10" i="6"/>
  <c r="FC10" i="6"/>
  <c r="FD10" i="6"/>
  <c r="FE10" i="6"/>
  <c r="FF10" i="6"/>
  <c r="FG10" i="6"/>
  <c r="FH10" i="6"/>
  <c r="FI10" i="6"/>
  <c r="FJ10" i="6"/>
  <c r="FK10" i="6"/>
  <c r="FL10" i="6"/>
  <c r="FM10" i="6"/>
  <c r="FN10" i="6"/>
  <c r="FO10" i="6"/>
  <c r="FP10" i="6"/>
  <c r="FQ10" i="6"/>
  <c r="FR10" i="6"/>
  <c r="FS10" i="6"/>
  <c r="FT10" i="6"/>
  <c r="FU10" i="6"/>
  <c r="FV10" i="6"/>
  <c r="FW10" i="6"/>
  <c r="FX10" i="6"/>
  <c r="FY10" i="6"/>
  <c r="FZ10" i="6"/>
  <c r="GA10" i="6"/>
  <c r="GB10" i="6"/>
  <c r="GC10" i="6"/>
  <c r="GD10" i="6"/>
  <c r="GE10" i="6"/>
  <c r="GF10" i="6"/>
  <c r="GG10" i="6"/>
  <c r="GH10" i="6"/>
  <c r="GI10" i="6"/>
  <c r="GJ10" i="6"/>
  <c r="GK10" i="6"/>
  <c r="GL10" i="6"/>
  <c r="GM10" i="6"/>
  <c r="GN10" i="6"/>
  <c r="GO10" i="6"/>
  <c r="GP10" i="6"/>
  <c r="GQ10" i="6"/>
  <c r="GR10" i="6"/>
  <c r="GS10" i="6"/>
  <c r="GT10" i="6"/>
  <c r="GU10" i="6"/>
  <c r="GV10" i="6"/>
  <c r="GW10" i="6"/>
  <c r="GX10" i="6"/>
  <c r="GY10" i="6"/>
  <c r="GZ10" i="6"/>
  <c r="HA10" i="6"/>
  <c r="HD10" i="6"/>
  <c r="HE10" i="6"/>
  <c r="HH10" i="6"/>
  <c r="HI10" i="6"/>
  <c r="HJ10" i="6"/>
  <c r="HK10" i="6"/>
  <c r="HL10" i="6"/>
  <c r="HN10" i="6"/>
  <c r="HO10" i="6"/>
  <c r="HP10" i="6"/>
  <c r="HQ10" i="6"/>
  <c r="HR10" i="6"/>
  <c r="HS10" i="6"/>
  <c r="HT10" i="6"/>
  <c r="HU10" i="6"/>
  <c r="HV10" i="6"/>
  <c r="HW10" i="6"/>
  <c r="HX10" i="6"/>
  <c r="HY10" i="6"/>
  <c r="HZ10" i="6"/>
  <c r="IA10" i="6"/>
  <c r="IB10" i="6"/>
  <c r="IC10" i="6"/>
  <c r="ID10" i="6"/>
  <c r="IE10" i="6"/>
  <c r="IF10" i="6"/>
  <c r="IG10" i="6"/>
  <c r="IH10" i="6"/>
  <c r="II10" i="6"/>
  <c r="IJ10" i="6"/>
  <c r="IK10" i="6"/>
  <c r="IL10" i="6"/>
  <c r="IM10" i="6"/>
  <c r="IN10" i="6"/>
  <c r="IO10" i="6"/>
  <c r="IP10" i="6"/>
  <c r="IQ10" i="6"/>
  <c r="IR10" i="6"/>
  <c r="IS10" i="6"/>
  <c r="IT10" i="6"/>
  <c r="IU10" i="6"/>
  <c r="IV10" i="6"/>
  <c r="A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BZ9" i="6"/>
  <c r="CA9" i="6"/>
  <c r="CB9" i="6"/>
  <c r="CC9" i="6"/>
  <c r="CD9" i="6"/>
  <c r="CE9" i="6"/>
  <c r="CF9" i="6"/>
  <c r="CG9" i="6"/>
  <c r="CH9" i="6"/>
  <c r="CI9" i="6"/>
  <c r="CJ9" i="6"/>
  <c r="CK9" i="6"/>
  <c r="CL9" i="6"/>
  <c r="CM9" i="6"/>
  <c r="CN9" i="6"/>
  <c r="CO9" i="6"/>
  <c r="CP9" i="6"/>
  <c r="CQ9" i="6"/>
  <c r="CR9" i="6"/>
  <c r="CS9" i="6"/>
  <c r="CT9" i="6"/>
  <c r="CU9" i="6"/>
  <c r="CV9" i="6"/>
  <c r="CW9" i="6"/>
  <c r="CX9" i="6"/>
  <c r="CY9" i="6"/>
  <c r="CZ9" i="6"/>
  <c r="DA9" i="6"/>
  <c r="DB9" i="6"/>
  <c r="DC9" i="6"/>
  <c r="DD9" i="6"/>
  <c r="DE9" i="6"/>
  <c r="DF9" i="6"/>
  <c r="DG9" i="6"/>
  <c r="DH9" i="6"/>
  <c r="DI9" i="6"/>
  <c r="DJ9" i="6"/>
  <c r="DK9" i="6"/>
  <c r="DL9" i="6"/>
  <c r="DM9" i="6"/>
  <c r="DN9" i="6"/>
  <c r="DO9" i="6"/>
  <c r="DP9" i="6"/>
  <c r="DQ9" i="6"/>
  <c r="DR9" i="6"/>
  <c r="DS9" i="6"/>
  <c r="DT9" i="6"/>
  <c r="DU9" i="6"/>
  <c r="DV9" i="6"/>
  <c r="DW9" i="6"/>
  <c r="DX9" i="6"/>
  <c r="DY9" i="6"/>
  <c r="DZ9" i="6"/>
  <c r="EA9" i="6"/>
  <c r="EB9" i="6"/>
  <c r="EC9" i="6"/>
  <c r="ED9" i="6"/>
  <c r="EE9" i="6"/>
  <c r="EF9" i="6"/>
  <c r="EG9" i="6"/>
  <c r="EH9" i="6"/>
  <c r="EI9" i="6"/>
  <c r="EJ9" i="6"/>
  <c r="EK9" i="6"/>
  <c r="EL9" i="6"/>
  <c r="EM9" i="6"/>
  <c r="EN9" i="6"/>
  <c r="EO9" i="6"/>
  <c r="EP9" i="6"/>
  <c r="EQ9" i="6"/>
  <c r="ER9" i="6"/>
  <c r="ES9" i="6"/>
  <c r="ET9" i="6"/>
  <c r="EU9" i="6"/>
  <c r="EV9" i="6"/>
  <c r="EW9" i="6"/>
  <c r="EX9" i="6"/>
  <c r="EY9" i="6"/>
  <c r="EZ9" i="6"/>
  <c r="FA9" i="6"/>
  <c r="FB9" i="6"/>
  <c r="FC9" i="6"/>
  <c r="FD9" i="6"/>
  <c r="FE9" i="6"/>
  <c r="FF9" i="6"/>
  <c r="FG9" i="6"/>
  <c r="FH9" i="6"/>
  <c r="FI9" i="6"/>
  <c r="FJ9" i="6"/>
  <c r="FK9" i="6"/>
  <c r="FL9" i="6"/>
  <c r="FM9" i="6"/>
  <c r="FN9" i="6"/>
  <c r="FO9" i="6"/>
  <c r="FP9" i="6"/>
  <c r="FQ9" i="6"/>
  <c r="FR9" i="6"/>
  <c r="FS9" i="6"/>
  <c r="FT9" i="6"/>
  <c r="FU9" i="6"/>
  <c r="FV9" i="6"/>
  <c r="FW9" i="6"/>
  <c r="FX9" i="6"/>
  <c r="FY9" i="6"/>
  <c r="FZ9" i="6"/>
  <c r="GA9" i="6"/>
  <c r="GB9" i="6"/>
  <c r="GC9" i="6"/>
  <c r="GD9" i="6"/>
  <c r="GE9" i="6"/>
  <c r="GF9" i="6"/>
  <c r="GG9" i="6"/>
  <c r="GH9" i="6"/>
  <c r="GI9" i="6"/>
  <c r="GJ9" i="6"/>
  <c r="GK9" i="6"/>
  <c r="GL9" i="6"/>
  <c r="GM9" i="6"/>
  <c r="GN9" i="6"/>
  <c r="GO9" i="6"/>
  <c r="GP9" i="6"/>
  <c r="GQ9" i="6"/>
  <c r="GR9" i="6"/>
  <c r="GS9" i="6"/>
  <c r="GT9" i="6"/>
  <c r="GU9" i="6"/>
  <c r="GV9" i="6"/>
  <c r="GW9" i="6"/>
  <c r="GX9" i="6"/>
  <c r="GY9" i="6"/>
  <c r="GZ9" i="6"/>
  <c r="HA9" i="6"/>
  <c r="HB9" i="6"/>
  <c r="HC9" i="6"/>
  <c r="HD9" i="6"/>
  <c r="HE9" i="6"/>
  <c r="HF9" i="6"/>
  <c r="HG9" i="6"/>
  <c r="HH9" i="6"/>
  <c r="HI9" i="6"/>
  <c r="HJ9" i="6"/>
  <c r="HK9" i="6"/>
  <c r="HL9" i="6"/>
  <c r="HM9" i="6"/>
  <c r="HN9" i="6"/>
  <c r="HO9" i="6"/>
  <c r="HP9" i="6"/>
  <c r="HQ9" i="6"/>
  <c r="HR9" i="6"/>
  <c r="HS9" i="6"/>
  <c r="HT9" i="6"/>
  <c r="HU9" i="6"/>
  <c r="HV9" i="6"/>
  <c r="HW9" i="6"/>
  <c r="HX9" i="6"/>
  <c r="HY9" i="6"/>
  <c r="HZ9" i="6"/>
  <c r="IA9" i="6"/>
  <c r="IB9" i="6"/>
  <c r="IC9" i="6"/>
  <c r="ID9" i="6"/>
  <c r="IE9" i="6"/>
  <c r="IF9" i="6"/>
  <c r="IG9" i="6"/>
  <c r="IH9" i="6"/>
  <c r="II9" i="6"/>
  <c r="IJ9" i="6"/>
  <c r="IS9" i="6"/>
  <c r="IT9" i="6"/>
  <c r="A8" i="6"/>
  <c r="B8" i="6"/>
  <c r="C8" i="6"/>
  <c r="D8" i="6"/>
  <c r="E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L8" i="6"/>
  <c r="CM8" i="6"/>
  <c r="CN8" i="6"/>
  <c r="CO8" i="6"/>
  <c r="CP8" i="6"/>
  <c r="CQ8" i="6"/>
  <c r="CR8" i="6"/>
  <c r="CS8" i="6"/>
  <c r="CT8" i="6"/>
  <c r="CU8" i="6"/>
  <c r="CV8" i="6"/>
  <c r="CW8" i="6"/>
  <c r="CX8" i="6"/>
  <c r="CY8" i="6"/>
  <c r="CZ8" i="6"/>
  <c r="DA8" i="6"/>
  <c r="DB8" i="6"/>
  <c r="DC8" i="6"/>
  <c r="DD8" i="6"/>
  <c r="DE8" i="6"/>
  <c r="DF8" i="6"/>
  <c r="DG8" i="6"/>
  <c r="DH8" i="6"/>
  <c r="DI8" i="6"/>
  <c r="DJ8" i="6"/>
  <c r="DK8" i="6"/>
  <c r="DL8" i="6"/>
  <c r="DM8" i="6"/>
  <c r="DN8" i="6"/>
  <c r="DO8" i="6"/>
  <c r="DP8" i="6"/>
  <c r="DQ8" i="6"/>
  <c r="DR8" i="6"/>
  <c r="DS8" i="6"/>
  <c r="DT8" i="6"/>
  <c r="DU8" i="6"/>
  <c r="DV8" i="6"/>
  <c r="DW8" i="6"/>
  <c r="DX8" i="6"/>
  <c r="DY8" i="6"/>
  <c r="DZ8" i="6"/>
  <c r="EA8" i="6"/>
  <c r="EB8" i="6"/>
  <c r="EC8" i="6"/>
  <c r="ED8" i="6"/>
  <c r="EE8" i="6"/>
  <c r="EF8" i="6"/>
  <c r="EG8" i="6"/>
  <c r="EH8" i="6"/>
  <c r="EI8" i="6"/>
  <c r="EJ8" i="6"/>
  <c r="EK8" i="6"/>
  <c r="EL8" i="6"/>
  <c r="EM8" i="6"/>
  <c r="EN8" i="6"/>
  <c r="EO8" i="6"/>
  <c r="EP8" i="6"/>
  <c r="EQ8" i="6"/>
  <c r="ER8" i="6"/>
  <c r="ES8" i="6"/>
  <c r="ET8" i="6"/>
  <c r="EU8" i="6"/>
  <c r="EV8" i="6"/>
  <c r="EW8" i="6"/>
  <c r="EX8" i="6"/>
  <c r="EY8" i="6"/>
  <c r="EZ8" i="6"/>
  <c r="FA8" i="6"/>
  <c r="FB8" i="6"/>
  <c r="FC8" i="6"/>
  <c r="FD8" i="6"/>
  <c r="FE8" i="6"/>
  <c r="FF8" i="6"/>
  <c r="FG8" i="6"/>
  <c r="FH8" i="6"/>
  <c r="FI8" i="6"/>
  <c r="FJ8" i="6"/>
  <c r="FK8" i="6"/>
  <c r="FL8" i="6"/>
  <c r="FM8" i="6"/>
  <c r="FN8" i="6"/>
  <c r="FO8" i="6"/>
  <c r="FP8" i="6"/>
  <c r="FQ8" i="6"/>
  <c r="FR8" i="6"/>
  <c r="FS8" i="6"/>
  <c r="FT8" i="6"/>
  <c r="FU8" i="6"/>
  <c r="FV8" i="6"/>
  <c r="FW8" i="6"/>
  <c r="FX8" i="6"/>
  <c r="FY8" i="6"/>
  <c r="FZ8" i="6"/>
  <c r="GA8" i="6"/>
  <c r="GB8" i="6"/>
  <c r="GC8" i="6"/>
  <c r="GD8" i="6"/>
  <c r="GE8" i="6"/>
  <c r="GF8" i="6"/>
  <c r="GG8" i="6"/>
  <c r="GH8" i="6"/>
  <c r="GI8" i="6"/>
  <c r="GJ8" i="6"/>
  <c r="GK8" i="6"/>
  <c r="GL8" i="6"/>
  <c r="GM8" i="6"/>
  <c r="GN8" i="6"/>
  <c r="GO8" i="6"/>
  <c r="GP8" i="6"/>
  <c r="GQ8" i="6"/>
  <c r="GR8" i="6"/>
  <c r="GS8" i="6"/>
  <c r="GT8" i="6"/>
  <c r="GU8" i="6"/>
  <c r="GV8" i="6"/>
  <c r="GW8" i="6"/>
  <c r="GX8" i="6"/>
  <c r="GY8" i="6"/>
  <c r="GZ8" i="6"/>
  <c r="HA8" i="6"/>
  <c r="HB8" i="6"/>
  <c r="HC8" i="6"/>
  <c r="HD8" i="6"/>
  <c r="HE8" i="6"/>
  <c r="HF8" i="6"/>
  <c r="HG8" i="6"/>
  <c r="HH8" i="6"/>
  <c r="HI8" i="6"/>
  <c r="HJ8" i="6"/>
  <c r="HK8" i="6"/>
  <c r="HL8" i="6"/>
  <c r="HM8" i="6"/>
  <c r="HN8" i="6"/>
  <c r="HO8" i="6"/>
  <c r="HP8" i="6"/>
  <c r="HQ8" i="6"/>
  <c r="HR8" i="6"/>
  <c r="HS8" i="6"/>
  <c r="HT8" i="6"/>
  <c r="HU8" i="6"/>
  <c r="HV8" i="6"/>
  <c r="HW8" i="6"/>
  <c r="HX8" i="6"/>
  <c r="HY8" i="6"/>
  <c r="HZ8" i="6"/>
  <c r="IA8" i="6"/>
  <c r="IB8" i="6"/>
  <c r="IC8" i="6"/>
  <c r="ID8" i="6"/>
  <c r="IE8" i="6"/>
  <c r="IF8" i="6"/>
  <c r="IG8" i="6"/>
  <c r="IH8" i="6"/>
  <c r="II8" i="6"/>
  <c r="IJ8" i="6"/>
  <c r="IK8" i="6"/>
  <c r="IL8" i="6"/>
  <c r="IM8" i="6"/>
  <c r="IN8" i="6"/>
  <c r="IO8" i="6"/>
  <c r="IP8" i="6"/>
  <c r="IQ8" i="6"/>
  <c r="IR8" i="6"/>
  <c r="IS8" i="6"/>
  <c r="IT8" i="6"/>
  <c r="IU8" i="6"/>
  <c r="IV8" i="6"/>
  <c r="A7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BZ7" i="6"/>
  <c r="CA7" i="6"/>
  <c r="CB7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CQ7" i="6"/>
  <c r="CR7" i="6"/>
  <c r="CS7" i="6"/>
  <c r="CT7" i="6"/>
  <c r="CU7" i="6"/>
  <c r="CV7" i="6"/>
  <c r="CW7" i="6"/>
  <c r="CX7" i="6"/>
  <c r="CY7" i="6"/>
  <c r="CZ7" i="6"/>
  <c r="DA7" i="6"/>
  <c r="DB7" i="6"/>
  <c r="DC7" i="6"/>
  <c r="DD7" i="6"/>
  <c r="DE7" i="6"/>
  <c r="DF7" i="6"/>
  <c r="DG7" i="6"/>
  <c r="DH7" i="6"/>
  <c r="DI7" i="6"/>
  <c r="DJ7" i="6"/>
  <c r="DK7" i="6"/>
  <c r="DL7" i="6"/>
  <c r="DM7" i="6"/>
  <c r="DN7" i="6"/>
  <c r="DO7" i="6"/>
  <c r="DP7" i="6"/>
  <c r="DQ7" i="6"/>
  <c r="DR7" i="6"/>
  <c r="DS7" i="6"/>
  <c r="DT7" i="6"/>
  <c r="DU7" i="6"/>
  <c r="DV7" i="6"/>
  <c r="DW7" i="6"/>
  <c r="DX7" i="6"/>
  <c r="DY7" i="6"/>
  <c r="DZ7" i="6"/>
  <c r="EA7" i="6"/>
  <c r="EB7" i="6"/>
  <c r="EC7" i="6"/>
  <c r="ED7" i="6"/>
  <c r="EE7" i="6"/>
  <c r="EF7" i="6"/>
  <c r="EG7" i="6"/>
  <c r="EH7" i="6"/>
  <c r="EI7" i="6"/>
  <c r="EJ7" i="6"/>
  <c r="EK7" i="6"/>
  <c r="EL7" i="6"/>
  <c r="EM7" i="6"/>
  <c r="EN7" i="6"/>
  <c r="EO7" i="6"/>
  <c r="EP7" i="6"/>
  <c r="EQ7" i="6"/>
  <c r="ER7" i="6"/>
  <c r="ES7" i="6"/>
  <c r="ET7" i="6"/>
  <c r="EU7" i="6"/>
  <c r="EV7" i="6"/>
  <c r="EW7" i="6"/>
  <c r="EX7" i="6"/>
  <c r="EY7" i="6"/>
  <c r="EZ7" i="6"/>
  <c r="FA7" i="6"/>
  <c r="FB7" i="6"/>
  <c r="FC7" i="6"/>
  <c r="FD7" i="6"/>
  <c r="FE7" i="6"/>
  <c r="FF7" i="6"/>
  <c r="FG7" i="6"/>
  <c r="FH7" i="6"/>
  <c r="FI7" i="6"/>
  <c r="FJ7" i="6"/>
  <c r="FK7" i="6"/>
  <c r="FL7" i="6"/>
  <c r="FM7" i="6"/>
  <c r="FN7" i="6"/>
  <c r="FO7" i="6"/>
  <c r="FP7" i="6"/>
  <c r="FQ7" i="6"/>
  <c r="FR7" i="6"/>
  <c r="FS7" i="6"/>
  <c r="FT7" i="6"/>
  <c r="FU7" i="6"/>
  <c r="FV7" i="6"/>
  <c r="FW7" i="6"/>
  <c r="FX7" i="6"/>
  <c r="FY7" i="6"/>
  <c r="FZ7" i="6"/>
  <c r="GA7" i="6"/>
  <c r="GB7" i="6"/>
  <c r="GC7" i="6"/>
  <c r="GD7" i="6"/>
  <c r="GE7" i="6"/>
  <c r="GF7" i="6"/>
  <c r="GG7" i="6"/>
  <c r="GH7" i="6"/>
  <c r="GI7" i="6"/>
  <c r="GJ7" i="6"/>
  <c r="GK7" i="6"/>
  <c r="GL7" i="6"/>
  <c r="GM7" i="6"/>
  <c r="GN7" i="6"/>
  <c r="GO7" i="6"/>
  <c r="GP7" i="6"/>
  <c r="GQ7" i="6"/>
  <c r="GR7" i="6"/>
  <c r="GS7" i="6"/>
  <c r="GT7" i="6"/>
  <c r="GU7" i="6"/>
  <c r="GV7" i="6"/>
  <c r="GW7" i="6"/>
  <c r="GX7" i="6"/>
  <c r="GY7" i="6"/>
  <c r="GZ7" i="6"/>
  <c r="HA7" i="6"/>
  <c r="HB7" i="6"/>
  <c r="HC7" i="6"/>
  <c r="HD7" i="6"/>
  <c r="HE7" i="6"/>
  <c r="HF7" i="6"/>
  <c r="HG7" i="6"/>
  <c r="HH7" i="6"/>
  <c r="HI7" i="6"/>
  <c r="HJ7" i="6"/>
  <c r="HK7" i="6"/>
  <c r="HL7" i="6"/>
  <c r="HM7" i="6"/>
  <c r="HN7" i="6"/>
  <c r="HO7" i="6"/>
  <c r="HP7" i="6"/>
  <c r="HQ7" i="6"/>
  <c r="HR7" i="6"/>
  <c r="HS7" i="6"/>
  <c r="HT7" i="6"/>
  <c r="HU7" i="6"/>
  <c r="HV7" i="6"/>
  <c r="HW7" i="6"/>
  <c r="HX7" i="6"/>
  <c r="HY7" i="6"/>
  <c r="HZ7" i="6"/>
  <c r="IA7" i="6"/>
  <c r="IB7" i="6"/>
  <c r="IC7" i="6"/>
  <c r="ID7" i="6"/>
  <c r="IE7" i="6"/>
  <c r="IF7" i="6"/>
  <c r="IG7" i="6"/>
  <c r="IH7" i="6"/>
  <c r="II7" i="6"/>
  <c r="IJ7" i="6"/>
  <c r="IK7" i="6"/>
  <c r="IL7" i="6"/>
  <c r="IM7" i="6"/>
  <c r="IN7" i="6"/>
  <c r="IO7" i="6"/>
  <c r="IP7" i="6"/>
  <c r="IQ7" i="6"/>
  <c r="IR7" i="6"/>
  <c r="IS7" i="6"/>
  <c r="IT7" i="6"/>
  <c r="IU7" i="6"/>
  <c r="IV7" i="6"/>
  <c r="A6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CA6" i="6"/>
  <c r="CB6" i="6"/>
  <c r="CC6" i="6"/>
  <c r="CD6" i="6"/>
  <c r="CE6" i="6"/>
  <c r="CF6" i="6"/>
  <c r="CG6" i="6"/>
  <c r="CH6" i="6"/>
  <c r="CI6" i="6"/>
  <c r="CJ6" i="6"/>
  <c r="CK6" i="6"/>
  <c r="CL6" i="6"/>
  <c r="CM6" i="6"/>
  <c r="CN6" i="6"/>
  <c r="CO6" i="6"/>
  <c r="CP6" i="6"/>
  <c r="CQ6" i="6"/>
  <c r="CR6" i="6"/>
  <c r="CS6" i="6"/>
  <c r="CT6" i="6"/>
  <c r="CU6" i="6"/>
  <c r="CV6" i="6"/>
  <c r="CW6" i="6"/>
  <c r="CX6" i="6"/>
  <c r="CY6" i="6"/>
  <c r="CZ6" i="6"/>
  <c r="DA6" i="6"/>
  <c r="DB6" i="6"/>
  <c r="DC6" i="6"/>
  <c r="DD6" i="6"/>
  <c r="DE6" i="6"/>
  <c r="DF6" i="6"/>
  <c r="DG6" i="6"/>
  <c r="DH6" i="6"/>
  <c r="DI6" i="6"/>
  <c r="DJ6" i="6"/>
  <c r="DK6" i="6"/>
  <c r="DL6" i="6"/>
  <c r="DM6" i="6"/>
  <c r="DN6" i="6"/>
  <c r="DO6" i="6"/>
  <c r="DP6" i="6"/>
  <c r="DQ6" i="6"/>
  <c r="DR6" i="6"/>
  <c r="DS6" i="6"/>
  <c r="DT6" i="6"/>
  <c r="DU6" i="6"/>
  <c r="DV6" i="6"/>
  <c r="DW6" i="6"/>
  <c r="DX6" i="6"/>
  <c r="DY6" i="6"/>
  <c r="DZ6" i="6"/>
  <c r="EA6" i="6"/>
  <c r="EB6" i="6"/>
  <c r="EC6" i="6"/>
  <c r="ED6" i="6"/>
  <c r="EE6" i="6"/>
  <c r="EF6" i="6"/>
  <c r="EG6" i="6"/>
  <c r="EH6" i="6"/>
  <c r="EI6" i="6"/>
  <c r="EJ6" i="6"/>
  <c r="EK6" i="6"/>
  <c r="EL6" i="6"/>
  <c r="EM6" i="6"/>
  <c r="EN6" i="6"/>
  <c r="EO6" i="6"/>
  <c r="EP6" i="6"/>
  <c r="EQ6" i="6"/>
  <c r="ER6" i="6"/>
  <c r="ES6" i="6"/>
  <c r="ET6" i="6"/>
  <c r="EU6" i="6"/>
  <c r="EV6" i="6"/>
  <c r="EW6" i="6"/>
  <c r="EX6" i="6"/>
  <c r="EY6" i="6"/>
  <c r="EZ6" i="6"/>
  <c r="FA6" i="6"/>
  <c r="FB6" i="6"/>
  <c r="FC6" i="6"/>
  <c r="FD6" i="6"/>
  <c r="FE6" i="6"/>
  <c r="FF6" i="6"/>
  <c r="FG6" i="6"/>
  <c r="FH6" i="6"/>
  <c r="FI6" i="6"/>
  <c r="FJ6" i="6"/>
  <c r="FK6" i="6"/>
  <c r="FL6" i="6"/>
  <c r="FM6" i="6"/>
  <c r="FN6" i="6"/>
  <c r="FO6" i="6"/>
  <c r="FP6" i="6"/>
  <c r="FQ6" i="6"/>
  <c r="FR6" i="6"/>
  <c r="FS6" i="6"/>
  <c r="FT6" i="6"/>
  <c r="FU6" i="6"/>
  <c r="FV6" i="6"/>
  <c r="FW6" i="6"/>
  <c r="FX6" i="6"/>
  <c r="FY6" i="6"/>
  <c r="FZ6" i="6"/>
  <c r="GA6" i="6"/>
  <c r="GB6" i="6"/>
  <c r="GC6" i="6"/>
  <c r="GD6" i="6"/>
  <c r="GE6" i="6"/>
  <c r="GF6" i="6"/>
  <c r="GG6" i="6"/>
  <c r="GH6" i="6"/>
  <c r="GI6" i="6"/>
  <c r="GJ6" i="6"/>
  <c r="GK6" i="6"/>
  <c r="GL6" i="6"/>
  <c r="GM6" i="6"/>
  <c r="GN6" i="6"/>
  <c r="GO6" i="6"/>
  <c r="GP6" i="6"/>
  <c r="GQ6" i="6"/>
  <c r="GR6" i="6"/>
  <c r="GS6" i="6"/>
  <c r="GT6" i="6"/>
  <c r="GU6" i="6"/>
  <c r="GV6" i="6"/>
  <c r="GW6" i="6"/>
  <c r="GX6" i="6"/>
  <c r="GY6" i="6"/>
  <c r="GZ6" i="6"/>
  <c r="HA6" i="6"/>
  <c r="HB6" i="6"/>
  <c r="HC6" i="6"/>
  <c r="HD6" i="6"/>
  <c r="HE6" i="6"/>
  <c r="HF6" i="6"/>
  <c r="HG6" i="6"/>
  <c r="HH6" i="6"/>
  <c r="HI6" i="6"/>
  <c r="HJ6" i="6"/>
  <c r="HK6" i="6"/>
  <c r="HL6" i="6"/>
  <c r="HM6" i="6"/>
  <c r="HN6" i="6"/>
  <c r="HO6" i="6"/>
  <c r="HP6" i="6"/>
  <c r="HQ6" i="6"/>
  <c r="HR6" i="6"/>
  <c r="HS6" i="6"/>
  <c r="HT6" i="6"/>
  <c r="HU6" i="6"/>
  <c r="HV6" i="6"/>
  <c r="HW6" i="6"/>
  <c r="HX6" i="6"/>
  <c r="HY6" i="6"/>
  <c r="HZ6" i="6"/>
  <c r="IA6" i="6"/>
  <c r="IB6" i="6"/>
  <c r="IC6" i="6"/>
  <c r="ID6" i="6"/>
  <c r="IE6" i="6"/>
  <c r="IF6" i="6"/>
  <c r="IG6" i="6"/>
  <c r="IH6" i="6"/>
  <c r="II6" i="6"/>
  <c r="IJ6" i="6"/>
  <c r="IK6" i="6"/>
  <c r="IL6" i="6"/>
  <c r="IM6" i="6"/>
  <c r="IN6" i="6"/>
  <c r="IO6" i="6"/>
  <c r="IP6" i="6"/>
  <c r="IQ6" i="6"/>
  <c r="IR6" i="6"/>
  <c r="IS6" i="6"/>
  <c r="IT6" i="6"/>
  <c r="IU6" i="6"/>
  <c r="IV6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L5" i="6"/>
  <c r="CM5" i="6"/>
  <c r="CN5" i="6"/>
  <c r="CO5" i="6"/>
  <c r="CP5" i="6"/>
  <c r="CQ5" i="6"/>
  <c r="CR5" i="6"/>
  <c r="CS5" i="6"/>
  <c r="CT5" i="6"/>
  <c r="CU5" i="6"/>
  <c r="CV5" i="6"/>
  <c r="CW5" i="6"/>
  <c r="CX5" i="6"/>
  <c r="CY5" i="6"/>
  <c r="CZ5" i="6"/>
  <c r="DA5" i="6"/>
  <c r="DB5" i="6"/>
  <c r="DC5" i="6"/>
  <c r="DD5" i="6"/>
  <c r="DE5" i="6"/>
  <c r="DF5" i="6"/>
  <c r="DG5" i="6"/>
  <c r="DH5" i="6"/>
  <c r="DI5" i="6"/>
  <c r="DJ5" i="6"/>
  <c r="DK5" i="6"/>
  <c r="DL5" i="6"/>
  <c r="DM5" i="6"/>
  <c r="DN5" i="6"/>
  <c r="DO5" i="6"/>
  <c r="DP5" i="6"/>
  <c r="DQ5" i="6"/>
  <c r="DR5" i="6"/>
  <c r="DS5" i="6"/>
  <c r="DT5" i="6"/>
  <c r="DU5" i="6"/>
  <c r="DV5" i="6"/>
  <c r="DW5" i="6"/>
  <c r="DX5" i="6"/>
  <c r="DY5" i="6"/>
  <c r="DZ5" i="6"/>
  <c r="EA5" i="6"/>
  <c r="EB5" i="6"/>
  <c r="EC5" i="6"/>
  <c r="ED5" i="6"/>
  <c r="EE5" i="6"/>
  <c r="EF5" i="6"/>
  <c r="EG5" i="6"/>
  <c r="EH5" i="6"/>
  <c r="EI5" i="6"/>
  <c r="EJ5" i="6"/>
  <c r="EK5" i="6"/>
  <c r="EL5" i="6"/>
  <c r="EM5" i="6"/>
  <c r="EN5" i="6"/>
  <c r="EO5" i="6"/>
  <c r="EP5" i="6"/>
  <c r="EQ5" i="6"/>
  <c r="ER5" i="6"/>
  <c r="ES5" i="6"/>
  <c r="ET5" i="6"/>
  <c r="EU5" i="6"/>
  <c r="EV5" i="6"/>
  <c r="EW5" i="6"/>
  <c r="EX5" i="6"/>
  <c r="EY5" i="6"/>
  <c r="EZ5" i="6"/>
  <c r="FA5" i="6"/>
  <c r="FB5" i="6"/>
  <c r="FC5" i="6"/>
  <c r="FD5" i="6"/>
  <c r="FE5" i="6"/>
  <c r="FF5" i="6"/>
  <c r="FG5" i="6"/>
  <c r="FH5" i="6"/>
  <c r="FI5" i="6"/>
  <c r="FJ5" i="6"/>
  <c r="FK5" i="6"/>
  <c r="FL5" i="6"/>
  <c r="FM5" i="6"/>
  <c r="FN5" i="6"/>
  <c r="FO5" i="6"/>
  <c r="FP5" i="6"/>
  <c r="FQ5" i="6"/>
  <c r="FR5" i="6"/>
  <c r="FS5" i="6"/>
  <c r="FT5" i="6"/>
  <c r="FU5" i="6"/>
  <c r="FV5" i="6"/>
  <c r="FW5" i="6"/>
  <c r="FX5" i="6"/>
  <c r="FY5" i="6"/>
  <c r="FZ5" i="6"/>
  <c r="GA5" i="6"/>
  <c r="GB5" i="6"/>
  <c r="GC5" i="6"/>
  <c r="GD5" i="6"/>
  <c r="GE5" i="6"/>
  <c r="GF5" i="6"/>
  <c r="GG5" i="6"/>
  <c r="GH5" i="6"/>
  <c r="GI5" i="6"/>
  <c r="GJ5" i="6"/>
  <c r="GK5" i="6"/>
  <c r="GL5" i="6"/>
  <c r="GM5" i="6"/>
  <c r="GN5" i="6"/>
  <c r="GO5" i="6"/>
  <c r="GP5" i="6"/>
  <c r="GQ5" i="6"/>
  <c r="GR5" i="6"/>
  <c r="GS5" i="6"/>
  <c r="GT5" i="6"/>
  <c r="GU5" i="6"/>
  <c r="GV5" i="6"/>
  <c r="GW5" i="6"/>
  <c r="GX5" i="6"/>
  <c r="GY5" i="6"/>
  <c r="GZ5" i="6"/>
  <c r="HA5" i="6"/>
  <c r="HB5" i="6"/>
  <c r="HC5" i="6"/>
  <c r="HD5" i="6"/>
  <c r="HE5" i="6"/>
  <c r="HF5" i="6"/>
  <c r="HG5" i="6"/>
  <c r="HH5" i="6"/>
  <c r="HI5" i="6"/>
  <c r="HJ5" i="6"/>
  <c r="HK5" i="6"/>
  <c r="HL5" i="6"/>
  <c r="HM5" i="6"/>
  <c r="HN5" i="6"/>
  <c r="HO5" i="6"/>
  <c r="HP5" i="6"/>
  <c r="HQ5" i="6"/>
  <c r="HR5" i="6"/>
  <c r="HS5" i="6"/>
  <c r="HT5" i="6"/>
  <c r="HU5" i="6"/>
  <c r="HV5" i="6"/>
  <c r="HW5" i="6"/>
  <c r="HX5" i="6"/>
  <c r="HY5" i="6"/>
  <c r="HZ5" i="6"/>
  <c r="IA5" i="6"/>
  <c r="IB5" i="6"/>
  <c r="IC5" i="6"/>
  <c r="ID5" i="6"/>
  <c r="IE5" i="6"/>
  <c r="IF5" i="6"/>
  <c r="IG5" i="6"/>
  <c r="IH5" i="6"/>
  <c r="II5" i="6"/>
  <c r="IJ5" i="6"/>
  <c r="IK5" i="6"/>
  <c r="IL5" i="6"/>
  <c r="IM5" i="6"/>
  <c r="IN5" i="6"/>
  <c r="IO5" i="6"/>
  <c r="IP5" i="6"/>
  <c r="IQ5" i="6"/>
  <c r="IR5" i="6"/>
  <c r="IS5" i="6"/>
  <c r="IT5" i="6"/>
  <c r="IU5" i="6"/>
  <c r="IV5" i="6"/>
  <c r="A4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BM4" i="6"/>
  <c r="BN4" i="6"/>
  <c r="BO4" i="6"/>
  <c r="BP4" i="6"/>
  <c r="BQ4" i="6"/>
  <c r="BR4" i="6"/>
  <c r="BS4" i="6"/>
  <c r="BT4" i="6"/>
  <c r="BU4" i="6"/>
  <c r="BV4" i="6"/>
  <c r="BW4" i="6"/>
  <c r="BX4" i="6"/>
  <c r="BY4" i="6"/>
  <c r="BZ4" i="6"/>
  <c r="CA4" i="6"/>
  <c r="CB4" i="6"/>
  <c r="CC4" i="6"/>
  <c r="CD4" i="6"/>
  <c r="CE4" i="6"/>
  <c r="CF4" i="6"/>
  <c r="CG4" i="6"/>
  <c r="CH4" i="6"/>
  <c r="CI4" i="6"/>
  <c r="CJ4" i="6"/>
  <c r="CK4" i="6"/>
  <c r="CL4" i="6"/>
  <c r="CM4" i="6"/>
  <c r="CN4" i="6"/>
  <c r="CO4" i="6"/>
  <c r="CP4" i="6"/>
  <c r="CQ4" i="6"/>
  <c r="CR4" i="6"/>
  <c r="CS4" i="6"/>
  <c r="CT4" i="6"/>
  <c r="CU4" i="6"/>
  <c r="CV4" i="6"/>
  <c r="CW4" i="6"/>
  <c r="CX4" i="6"/>
  <c r="CY4" i="6"/>
  <c r="CZ4" i="6"/>
  <c r="DA4" i="6"/>
  <c r="DB4" i="6"/>
  <c r="DC4" i="6"/>
  <c r="DD4" i="6"/>
  <c r="DE4" i="6"/>
  <c r="DF4" i="6"/>
  <c r="DG4" i="6"/>
  <c r="DH4" i="6"/>
  <c r="DI4" i="6"/>
  <c r="DJ4" i="6"/>
  <c r="DK4" i="6"/>
  <c r="DL4" i="6"/>
  <c r="DM4" i="6"/>
  <c r="DN4" i="6"/>
  <c r="DO4" i="6"/>
  <c r="DP4" i="6"/>
  <c r="DQ4" i="6"/>
  <c r="DR4" i="6"/>
  <c r="DS4" i="6"/>
  <c r="DT4" i="6"/>
  <c r="DU4" i="6"/>
  <c r="DV4" i="6"/>
  <c r="DW4" i="6"/>
  <c r="DX4" i="6"/>
  <c r="DY4" i="6"/>
  <c r="DZ4" i="6"/>
  <c r="EA4" i="6"/>
  <c r="EB4" i="6"/>
  <c r="EC4" i="6"/>
  <c r="ED4" i="6"/>
  <c r="EE4" i="6"/>
  <c r="EF4" i="6"/>
  <c r="EG4" i="6"/>
  <c r="EH4" i="6"/>
  <c r="EI4" i="6"/>
  <c r="EJ4" i="6"/>
  <c r="EK4" i="6"/>
  <c r="EL4" i="6"/>
  <c r="EM4" i="6"/>
  <c r="EN4" i="6"/>
  <c r="EO4" i="6"/>
  <c r="EP4" i="6"/>
  <c r="EQ4" i="6"/>
  <c r="ER4" i="6"/>
  <c r="ES4" i="6"/>
  <c r="ET4" i="6"/>
  <c r="EU4" i="6"/>
  <c r="EV4" i="6"/>
  <c r="EW4" i="6"/>
  <c r="EX4" i="6"/>
  <c r="EY4" i="6"/>
  <c r="EZ4" i="6"/>
  <c r="FA4" i="6"/>
  <c r="FB4" i="6"/>
  <c r="FC4" i="6"/>
  <c r="FD4" i="6"/>
  <c r="FE4" i="6"/>
  <c r="FF4" i="6"/>
  <c r="FG4" i="6"/>
  <c r="FH4" i="6"/>
  <c r="FI4" i="6"/>
  <c r="FJ4" i="6"/>
  <c r="FK4" i="6"/>
  <c r="FL4" i="6"/>
  <c r="FM4" i="6"/>
  <c r="FN4" i="6"/>
  <c r="FO4" i="6"/>
  <c r="FP4" i="6"/>
  <c r="FQ4" i="6"/>
  <c r="FR4" i="6"/>
  <c r="FS4" i="6"/>
  <c r="FT4" i="6"/>
  <c r="FU4" i="6"/>
  <c r="FV4" i="6"/>
  <c r="FW4" i="6"/>
  <c r="FX4" i="6"/>
  <c r="FY4" i="6"/>
  <c r="FZ4" i="6"/>
  <c r="GA4" i="6"/>
  <c r="GB4" i="6"/>
  <c r="GC4" i="6"/>
  <c r="GD4" i="6"/>
  <c r="GE4" i="6"/>
  <c r="GF4" i="6"/>
  <c r="GG4" i="6"/>
  <c r="GH4" i="6"/>
  <c r="GI4" i="6"/>
  <c r="GJ4" i="6"/>
  <c r="GK4" i="6"/>
  <c r="GL4" i="6"/>
  <c r="GM4" i="6"/>
  <c r="GN4" i="6"/>
  <c r="GO4" i="6"/>
  <c r="GP4" i="6"/>
  <c r="GQ4" i="6"/>
  <c r="GR4" i="6"/>
  <c r="GS4" i="6"/>
  <c r="GT4" i="6"/>
  <c r="GU4" i="6"/>
  <c r="GV4" i="6"/>
  <c r="GW4" i="6"/>
  <c r="GX4" i="6"/>
  <c r="GY4" i="6"/>
  <c r="GZ4" i="6"/>
  <c r="HA4" i="6"/>
  <c r="HB4" i="6"/>
  <c r="HC4" i="6"/>
  <c r="HD4" i="6"/>
  <c r="HE4" i="6"/>
  <c r="HF4" i="6"/>
  <c r="HG4" i="6"/>
  <c r="HH4" i="6"/>
  <c r="HI4" i="6"/>
  <c r="HJ4" i="6"/>
  <c r="HK4" i="6"/>
  <c r="HL4" i="6"/>
  <c r="HM4" i="6"/>
  <c r="HN4" i="6"/>
  <c r="HO4" i="6"/>
  <c r="HP4" i="6"/>
  <c r="HQ4" i="6"/>
  <c r="HR4" i="6"/>
  <c r="HS4" i="6"/>
  <c r="HT4" i="6"/>
  <c r="HU4" i="6"/>
  <c r="HV4" i="6"/>
  <c r="HW4" i="6"/>
  <c r="HX4" i="6"/>
  <c r="HY4" i="6"/>
  <c r="HZ4" i="6"/>
  <c r="IA4" i="6"/>
  <c r="IB4" i="6"/>
  <c r="IC4" i="6"/>
  <c r="ID4" i="6"/>
  <c r="IE4" i="6"/>
  <c r="IF4" i="6"/>
  <c r="IG4" i="6"/>
  <c r="IH4" i="6"/>
  <c r="II4" i="6"/>
  <c r="IJ4" i="6"/>
  <c r="IK4" i="6"/>
  <c r="IL4" i="6"/>
  <c r="IM4" i="6"/>
  <c r="IN4" i="6"/>
  <c r="IO4" i="6"/>
  <c r="IP4" i="6"/>
  <c r="IQ4" i="6"/>
  <c r="IR4" i="6"/>
  <c r="IS4" i="6"/>
  <c r="IT4" i="6"/>
  <c r="IU4" i="6"/>
  <c r="IV4" i="6"/>
  <c r="A3" i="6"/>
  <c r="B3" i="6"/>
  <c r="C3" i="6"/>
  <c r="D3" i="6"/>
  <c r="E3" i="6"/>
  <c r="F3" i="6"/>
  <c r="G3" i="6"/>
  <c r="H3" i="6"/>
  <c r="I3" i="6"/>
  <c r="J3" i="6"/>
  <c r="K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AX3" i="6"/>
  <c r="AY3" i="6"/>
  <c r="AZ3" i="6"/>
  <c r="BA3" i="6"/>
  <c r="BB3" i="6"/>
  <c r="BC3" i="6"/>
  <c r="BD3" i="6"/>
  <c r="BE3" i="6"/>
  <c r="BF3" i="6"/>
  <c r="BG3" i="6"/>
  <c r="BH3" i="6"/>
  <c r="BI3" i="6"/>
  <c r="BJ3" i="6"/>
  <c r="BK3" i="6"/>
  <c r="BL3" i="6"/>
  <c r="BM3" i="6"/>
  <c r="BN3" i="6"/>
  <c r="BO3" i="6"/>
  <c r="BP3" i="6"/>
  <c r="BQ3" i="6"/>
  <c r="BR3" i="6"/>
  <c r="BS3" i="6"/>
  <c r="BT3" i="6"/>
  <c r="BU3" i="6"/>
  <c r="BV3" i="6"/>
  <c r="BW3" i="6"/>
  <c r="BX3" i="6"/>
  <c r="BY3" i="6"/>
  <c r="BZ3" i="6"/>
  <c r="CA3" i="6"/>
  <c r="CB3" i="6"/>
  <c r="CC3" i="6"/>
  <c r="CD3" i="6"/>
  <c r="CE3" i="6"/>
  <c r="CF3" i="6"/>
  <c r="CG3" i="6"/>
  <c r="CH3" i="6"/>
  <c r="CI3" i="6"/>
  <c r="CJ3" i="6"/>
  <c r="CK3" i="6"/>
  <c r="CL3" i="6"/>
  <c r="CM3" i="6"/>
  <c r="CN3" i="6"/>
  <c r="CO3" i="6"/>
  <c r="CP3" i="6"/>
  <c r="CQ3" i="6"/>
  <c r="CR3" i="6"/>
  <c r="CS3" i="6"/>
  <c r="CT3" i="6"/>
  <c r="CU3" i="6"/>
  <c r="CV3" i="6"/>
  <c r="CW3" i="6"/>
  <c r="CX3" i="6"/>
  <c r="CY3" i="6"/>
  <c r="CZ3" i="6"/>
  <c r="DA3" i="6"/>
  <c r="DB3" i="6"/>
  <c r="DC3" i="6"/>
  <c r="DD3" i="6"/>
  <c r="DE3" i="6"/>
  <c r="DF3" i="6"/>
  <c r="DG3" i="6"/>
  <c r="DH3" i="6"/>
  <c r="DI3" i="6"/>
  <c r="DJ3" i="6"/>
  <c r="DK3" i="6"/>
  <c r="DL3" i="6"/>
  <c r="DM3" i="6"/>
  <c r="DN3" i="6"/>
  <c r="DO3" i="6"/>
  <c r="DP3" i="6"/>
  <c r="DQ3" i="6"/>
  <c r="DR3" i="6"/>
  <c r="DS3" i="6"/>
  <c r="DT3" i="6"/>
  <c r="DU3" i="6"/>
  <c r="DV3" i="6"/>
  <c r="DW3" i="6"/>
  <c r="DX3" i="6"/>
  <c r="DY3" i="6"/>
  <c r="DZ3" i="6"/>
  <c r="EA3" i="6"/>
  <c r="EB3" i="6"/>
  <c r="EC3" i="6"/>
  <c r="ED3" i="6"/>
  <c r="EE3" i="6"/>
  <c r="EF3" i="6"/>
  <c r="EG3" i="6"/>
  <c r="EH3" i="6"/>
  <c r="EI3" i="6"/>
  <c r="EJ3" i="6"/>
  <c r="EK3" i="6"/>
  <c r="EL3" i="6"/>
  <c r="EM3" i="6"/>
  <c r="EN3" i="6"/>
  <c r="EO3" i="6"/>
  <c r="EP3" i="6"/>
  <c r="EQ3" i="6"/>
  <c r="ER3" i="6"/>
  <c r="ES3" i="6"/>
  <c r="ET3" i="6"/>
  <c r="EU3" i="6"/>
  <c r="EV3" i="6"/>
  <c r="EW3" i="6"/>
  <c r="EX3" i="6"/>
  <c r="EY3" i="6"/>
  <c r="EZ3" i="6"/>
  <c r="FA3" i="6"/>
  <c r="FB3" i="6"/>
  <c r="FC3" i="6"/>
  <c r="FD3" i="6"/>
  <c r="FE3" i="6"/>
  <c r="FF3" i="6"/>
  <c r="FG3" i="6"/>
  <c r="FH3" i="6"/>
  <c r="FI3" i="6"/>
  <c r="FJ3" i="6"/>
  <c r="FK3" i="6"/>
  <c r="FL3" i="6"/>
  <c r="FM3" i="6"/>
  <c r="FN3" i="6"/>
  <c r="FO3" i="6"/>
  <c r="FP3" i="6"/>
  <c r="FQ3" i="6"/>
  <c r="FR3" i="6"/>
  <c r="FS3" i="6"/>
  <c r="FT3" i="6"/>
  <c r="FU3" i="6"/>
  <c r="FV3" i="6"/>
  <c r="FW3" i="6"/>
  <c r="FX3" i="6"/>
  <c r="FY3" i="6"/>
  <c r="FZ3" i="6"/>
  <c r="GA3" i="6"/>
  <c r="GB3" i="6"/>
  <c r="GC3" i="6"/>
  <c r="GD3" i="6"/>
  <c r="GE3" i="6"/>
  <c r="GF3" i="6"/>
  <c r="GG3" i="6"/>
  <c r="GH3" i="6"/>
  <c r="GI3" i="6"/>
  <c r="GJ3" i="6"/>
  <c r="GK3" i="6"/>
  <c r="GL3" i="6"/>
  <c r="GM3" i="6"/>
  <c r="GN3" i="6"/>
  <c r="GO3" i="6"/>
  <c r="GP3" i="6"/>
  <c r="GQ3" i="6"/>
  <c r="GR3" i="6"/>
  <c r="GS3" i="6"/>
  <c r="GT3" i="6"/>
  <c r="GU3" i="6"/>
  <c r="GV3" i="6"/>
  <c r="GW3" i="6"/>
  <c r="GX3" i="6"/>
  <c r="GY3" i="6"/>
  <c r="GZ3" i="6"/>
  <c r="HA3" i="6"/>
  <c r="HB3" i="6"/>
  <c r="HC3" i="6"/>
  <c r="HD3" i="6"/>
  <c r="HE3" i="6"/>
  <c r="HF3" i="6"/>
  <c r="HG3" i="6"/>
  <c r="HH3" i="6"/>
  <c r="HI3" i="6"/>
  <c r="HJ3" i="6"/>
  <c r="HK3" i="6"/>
  <c r="HL3" i="6"/>
  <c r="HM3" i="6"/>
  <c r="HN3" i="6"/>
  <c r="HO3" i="6"/>
  <c r="HP3" i="6"/>
  <c r="HQ3" i="6"/>
  <c r="HR3" i="6"/>
  <c r="HS3" i="6"/>
  <c r="HT3" i="6"/>
  <c r="HU3" i="6"/>
  <c r="HV3" i="6"/>
  <c r="HW3" i="6"/>
  <c r="HX3" i="6"/>
  <c r="HY3" i="6"/>
  <c r="HZ3" i="6"/>
  <c r="IA3" i="6"/>
  <c r="IB3" i="6"/>
  <c r="IC3" i="6"/>
  <c r="ID3" i="6"/>
  <c r="IE3" i="6"/>
  <c r="IF3" i="6"/>
  <c r="IG3" i="6"/>
  <c r="IH3" i="6"/>
  <c r="II3" i="6"/>
  <c r="IJ3" i="6"/>
  <c r="IK3" i="6"/>
  <c r="IL3" i="6"/>
  <c r="IM3" i="6"/>
  <c r="IN3" i="6"/>
  <c r="IO3" i="6"/>
  <c r="IP3" i="6"/>
  <c r="IQ3" i="6"/>
  <c r="IR3" i="6"/>
  <c r="IS3" i="6"/>
  <c r="IT3" i="6"/>
  <c r="IU3" i="6"/>
  <c r="IV3" i="6"/>
  <c r="A2" i="6"/>
  <c r="B2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AP2" i="6"/>
  <c r="AQ2" i="6"/>
  <c r="AR2" i="6"/>
  <c r="AS2" i="6"/>
  <c r="AT2" i="6"/>
  <c r="AU2" i="6"/>
  <c r="AV2" i="6"/>
  <c r="AW2" i="6"/>
  <c r="AX2" i="6"/>
  <c r="AY2" i="6"/>
  <c r="AZ2" i="6"/>
  <c r="BA2" i="6"/>
  <c r="BB2" i="6"/>
  <c r="BC2" i="6"/>
  <c r="BD2" i="6"/>
  <c r="BE2" i="6"/>
  <c r="BF2" i="6"/>
  <c r="BG2" i="6"/>
  <c r="BH2" i="6"/>
  <c r="BI2" i="6"/>
  <c r="BJ2" i="6"/>
  <c r="BK2" i="6"/>
  <c r="BL2" i="6"/>
  <c r="BM2" i="6"/>
  <c r="BN2" i="6"/>
  <c r="BO2" i="6"/>
  <c r="BP2" i="6"/>
  <c r="BQ2" i="6"/>
  <c r="BR2" i="6"/>
  <c r="BS2" i="6"/>
  <c r="BT2" i="6"/>
  <c r="BU2" i="6"/>
  <c r="BV2" i="6"/>
  <c r="BW2" i="6"/>
  <c r="BX2" i="6"/>
  <c r="BY2" i="6"/>
  <c r="BZ2" i="6"/>
  <c r="CA2" i="6"/>
  <c r="CB2" i="6"/>
  <c r="CC2" i="6"/>
  <c r="CD2" i="6"/>
  <c r="CE2" i="6"/>
  <c r="CF2" i="6"/>
  <c r="CG2" i="6"/>
  <c r="CH2" i="6"/>
  <c r="CI2" i="6"/>
  <c r="CJ2" i="6"/>
  <c r="CK2" i="6"/>
  <c r="CL2" i="6"/>
  <c r="CM2" i="6"/>
  <c r="CN2" i="6"/>
  <c r="CO2" i="6"/>
  <c r="CP2" i="6"/>
  <c r="CQ2" i="6"/>
  <c r="CR2" i="6"/>
  <c r="CS2" i="6"/>
  <c r="CT2" i="6"/>
  <c r="CU2" i="6"/>
  <c r="CV2" i="6"/>
  <c r="CW2" i="6"/>
  <c r="CX2" i="6"/>
  <c r="CY2" i="6"/>
  <c r="CZ2" i="6"/>
  <c r="DA2" i="6"/>
  <c r="DB2" i="6"/>
  <c r="DC2" i="6"/>
  <c r="DD2" i="6"/>
  <c r="DE2" i="6"/>
  <c r="DF2" i="6"/>
  <c r="DG2" i="6"/>
  <c r="DH2" i="6"/>
  <c r="DI2" i="6"/>
  <c r="DJ2" i="6"/>
  <c r="DK2" i="6"/>
  <c r="DL2" i="6"/>
  <c r="DM2" i="6"/>
  <c r="DN2" i="6"/>
  <c r="DO2" i="6"/>
  <c r="DP2" i="6"/>
  <c r="DQ2" i="6"/>
  <c r="DR2" i="6"/>
  <c r="DS2" i="6"/>
  <c r="DT2" i="6"/>
  <c r="DU2" i="6"/>
  <c r="DV2" i="6"/>
  <c r="DW2" i="6"/>
  <c r="DX2" i="6"/>
  <c r="DY2" i="6"/>
  <c r="DZ2" i="6"/>
  <c r="EA2" i="6"/>
  <c r="EB2" i="6"/>
  <c r="EC2" i="6"/>
  <c r="ED2" i="6"/>
  <c r="EE2" i="6"/>
  <c r="EF2" i="6"/>
  <c r="EG2" i="6"/>
  <c r="EH2" i="6"/>
  <c r="EI2" i="6"/>
  <c r="EJ2" i="6"/>
  <c r="EK2" i="6"/>
  <c r="EL2" i="6"/>
  <c r="EM2" i="6"/>
  <c r="EN2" i="6"/>
  <c r="EO2" i="6"/>
  <c r="EP2" i="6"/>
  <c r="EQ2" i="6"/>
  <c r="ER2" i="6"/>
  <c r="ES2" i="6"/>
  <c r="ET2" i="6"/>
  <c r="EU2" i="6"/>
  <c r="EV2" i="6"/>
  <c r="EW2" i="6"/>
  <c r="EX2" i="6"/>
  <c r="EY2" i="6"/>
  <c r="EZ2" i="6"/>
  <c r="FA2" i="6"/>
  <c r="FB2" i="6"/>
  <c r="FC2" i="6"/>
  <c r="FD2" i="6"/>
  <c r="FE2" i="6"/>
  <c r="FF2" i="6"/>
  <c r="FG2" i="6"/>
  <c r="FH2" i="6"/>
  <c r="FI2" i="6"/>
  <c r="FJ2" i="6"/>
  <c r="FK2" i="6"/>
  <c r="FL2" i="6"/>
  <c r="FM2" i="6"/>
  <c r="FN2" i="6"/>
  <c r="FO2" i="6"/>
  <c r="FP2" i="6"/>
  <c r="FQ2" i="6"/>
  <c r="FR2" i="6"/>
  <c r="FS2" i="6"/>
  <c r="FT2" i="6"/>
  <c r="FU2" i="6"/>
  <c r="FV2" i="6"/>
  <c r="FW2" i="6"/>
  <c r="FX2" i="6"/>
  <c r="FY2" i="6"/>
  <c r="FZ2" i="6"/>
  <c r="GA2" i="6"/>
  <c r="GB2" i="6"/>
  <c r="GC2" i="6"/>
  <c r="GD2" i="6"/>
  <c r="GE2" i="6"/>
  <c r="GF2" i="6"/>
  <c r="GG2" i="6"/>
  <c r="GH2" i="6"/>
  <c r="GI2" i="6"/>
  <c r="GJ2" i="6"/>
  <c r="GK2" i="6"/>
  <c r="GL2" i="6"/>
  <c r="GM2" i="6"/>
  <c r="GN2" i="6"/>
  <c r="GO2" i="6"/>
  <c r="GP2" i="6"/>
  <c r="GQ2" i="6"/>
  <c r="GR2" i="6"/>
  <c r="GS2" i="6"/>
  <c r="GT2" i="6"/>
  <c r="GU2" i="6"/>
  <c r="GV2" i="6"/>
  <c r="GW2" i="6"/>
  <c r="GX2" i="6"/>
  <c r="GY2" i="6"/>
  <c r="GZ2" i="6"/>
  <c r="HA2" i="6"/>
  <c r="HB2" i="6"/>
  <c r="HC2" i="6"/>
  <c r="HD2" i="6"/>
  <c r="HE2" i="6"/>
  <c r="HF2" i="6"/>
  <c r="HG2" i="6"/>
  <c r="HH2" i="6"/>
  <c r="HI2" i="6"/>
  <c r="HJ2" i="6"/>
  <c r="HK2" i="6"/>
  <c r="HL2" i="6"/>
  <c r="HM2" i="6"/>
  <c r="HN2" i="6"/>
  <c r="HO2" i="6"/>
  <c r="HP2" i="6"/>
  <c r="HQ2" i="6"/>
  <c r="HR2" i="6"/>
  <c r="HS2" i="6"/>
  <c r="HT2" i="6"/>
  <c r="HU2" i="6"/>
  <c r="HV2" i="6"/>
  <c r="HW2" i="6"/>
  <c r="HX2" i="6"/>
  <c r="HY2" i="6"/>
  <c r="HZ2" i="6"/>
  <c r="IA2" i="6"/>
  <c r="IB2" i="6"/>
  <c r="IC2" i="6"/>
  <c r="ID2" i="6"/>
  <c r="IE2" i="6"/>
  <c r="IF2" i="6"/>
  <c r="IG2" i="6"/>
  <c r="IH2" i="6"/>
  <c r="II2" i="6"/>
  <c r="IJ2" i="6"/>
  <c r="IK2" i="6"/>
  <c r="IL2" i="6"/>
  <c r="IM2" i="6"/>
  <c r="IN2" i="6"/>
  <c r="IO2" i="6"/>
  <c r="IP2" i="6"/>
  <c r="IQ2" i="6"/>
  <c r="IR2" i="6"/>
  <c r="IS2" i="6"/>
  <c r="IT2" i="6"/>
  <c r="IU2" i="6"/>
  <c r="IV2" i="6"/>
  <c r="A1" i="6"/>
  <c r="B1" i="6"/>
  <c r="C1" i="6"/>
  <c r="D1" i="6"/>
  <c r="E1" i="6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AI1" i="6"/>
  <c r="AJ1" i="6"/>
  <c r="AK1" i="6"/>
  <c r="AL1" i="6"/>
  <c r="AM1" i="6"/>
  <c r="AN1" i="6"/>
  <c r="AO1" i="6"/>
  <c r="AP1" i="6"/>
  <c r="AQ1" i="6"/>
  <c r="AR1" i="6"/>
  <c r="AS1" i="6"/>
  <c r="AT1" i="6"/>
  <c r="AU1" i="6"/>
  <c r="AV1" i="6"/>
  <c r="AW1" i="6"/>
  <c r="AX1" i="6"/>
  <c r="AY1" i="6"/>
  <c r="AZ1" i="6"/>
  <c r="BA1" i="6"/>
  <c r="BB1" i="6"/>
  <c r="BC1" i="6"/>
  <c r="BD1" i="6"/>
  <c r="BE1" i="6"/>
  <c r="BF1" i="6"/>
  <c r="BG1" i="6"/>
  <c r="BH1" i="6"/>
  <c r="BI1" i="6"/>
  <c r="BJ1" i="6"/>
  <c r="BK1" i="6"/>
  <c r="BL1" i="6"/>
  <c r="BM1" i="6"/>
  <c r="BN1" i="6"/>
  <c r="BO1" i="6"/>
  <c r="BP1" i="6"/>
  <c r="BQ1" i="6"/>
  <c r="BR1" i="6"/>
  <c r="BS1" i="6"/>
  <c r="BT1" i="6"/>
  <c r="BU1" i="6"/>
  <c r="BV1" i="6"/>
  <c r="BW1" i="6"/>
  <c r="BX1" i="6"/>
  <c r="BY1" i="6"/>
  <c r="BZ1" i="6"/>
  <c r="CA1" i="6"/>
  <c r="CB1" i="6"/>
  <c r="CC1" i="6"/>
  <c r="CD1" i="6"/>
  <c r="CE1" i="6"/>
  <c r="CF1" i="6"/>
  <c r="CG1" i="6"/>
  <c r="CH1" i="6"/>
  <c r="CI1" i="6"/>
  <c r="CJ1" i="6"/>
  <c r="CK1" i="6"/>
  <c r="CL1" i="6"/>
  <c r="CM1" i="6"/>
  <c r="CN1" i="6"/>
  <c r="CO1" i="6"/>
  <c r="CP1" i="6"/>
  <c r="CQ1" i="6"/>
  <c r="CR1" i="6"/>
  <c r="CS1" i="6"/>
  <c r="CT1" i="6"/>
  <c r="CU1" i="6"/>
  <c r="CV1" i="6"/>
  <c r="CW1" i="6"/>
  <c r="CX1" i="6"/>
  <c r="CY1" i="6"/>
  <c r="CZ1" i="6"/>
  <c r="DA1" i="6"/>
  <c r="DB1" i="6"/>
  <c r="DC1" i="6"/>
  <c r="DD1" i="6"/>
  <c r="DE1" i="6"/>
  <c r="DF1" i="6"/>
  <c r="DG1" i="6"/>
  <c r="DH1" i="6"/>
  <c r="DI1" i="6"/>
  <c r="DJ1" i="6"/>
  <c r="DK1" i="6"/>
  <c r="DL1" i="6"/>
  <c r="DM1" i="6"/>
  <c r="DN1" i="6"/>
  <c r="DO1" i="6"/>
  <c r="DP1" i="6"/>
  <c r="DQ1" i="6"/>
  <c r="DR1" i="6"/>
  <c r="DS1" i="6"/>
  <c r="DT1" i="6"/>
  <c r="DU1" i="6"/>
  <c r="DV1" i="6"/>
  <c r="DW1" i="6"/>
  <c r="DX1" i="6"/>
  <c r="DY1" i="6"/>
  <c r="DZ1" i="6"/>
  <c r="EA1" i="6"/>
  <c r="EB1" i="6"/>
  <c r="EC1" i="6"/>
  <c r="ED1" i="6"/>
  <c r="EE1" i="6"/>
  <c r="EF1" i="6"/>
  <c r="EG1" i="6"/>
  <c r="EH1" i="6"/>
  <c r="EI1" i="6"/>
  <c r="EJ1" i="6"/>
  <c r="EK1" i="6"/>
  <c r="EL1" i="6"/>
  <c r="EM1" i="6"/>
  <c r="EN1" i="6"/>
  <c r="EO1" i="6"/>
  <c r="EP1" i="6"/>
  <c r="EQ1" i="6"/>
  <c r="ER1" i="6"/>
  <c r="ES1" i="6"/>
  <c r="ET1" i="6"/>
  <c r="EU1" i="6"/>
  <c r="EV1" i="6"/>
  <c r="EW1" i="6"/>
  <c r="EX1" i="6"/>
  <c r="EY1" i="6"/>
  <c r="EZ1" i="6"/>
  <c r="FA1" i="6"/>
  <c r="FB1" i="6"/>
  <c r="FC1" i="6"/>
  <c r="FD1" i="6"/>
  <c r="FE1" i="6"/>
  <c r="FF1" i="6"/>
  <c r="FG1" i="6"/>
  <c r="FH1" i="6"/>
  <c r="FI1" i="6"/>
  <c r="FJ1" i="6"/>
  <c r="FK1" i="6"/>
  <c r="FL1" i="6"/>
  <c r="FM1" i="6"/>
  <c r="FN1" i="6"/>
  <c r="FO1" i="6"/>
  <c r="FP1" i="6"/>
  <c r="FQ1" i="6"/>
  <c r="FR1" i="6"/>
  <c r="FS1" i="6"/>
  <c r="FT1" i="6"/>
  <c r="FU1" i="6"/>
  <c r="FV1" i="6"/>
  <c r="FW1" i="6"/>
  <c r="FX1" i="6"/>
  <c r="FY1" i="6"/>
  <c r="FZ1" i="6"/>
  <c r="GA1" i="6"/>
  <c r="GB1" i="6"/>
  <c r="GC1" i="6"/>
  <c r="GD1" i="6"/>
  <c r="GE1" i="6"/>
  <c r="GF1" i="6"/>
  <c r="GG1" i="6"/>
  <c r="GH1" i="6"/>
  <c r="GI1" i="6"/>
  <c r="GJ1" i="6"/>
  <c r="GK1" i="6"/>
  <c r="GL1" i="6"/>
  <c r="GM1" i="6"/>
  <c r="GN1" i="6"/>
  <c r="GO1" i="6"/>
  <c r="GP1" i="6"/>
  <c r="GQ1" i="6"/>
  <c r="GR1" i="6"/>
  <c r="GS1" i="6"/>
  <c r="GT1" i="6"/>
  <c r="GU1" i="6"/>
  <c r="GV1" i="6"/>
  <c r="GW1" i="6"/>
  <c r="GX1" i="6"/>
  <c r="GY1" i="6"/>
  <c r="GZ1" i="6"/>
  <c r="HA1" i="6"/>
  <c r="HB1" i="6"/>
  <c r="HC1" i="6"/>
  <c r="HD1" i="6"/>
  <c r="HE1" i="6"/>
  <c r="HF1" i="6"/>
  <c r="HG1" i="6"/>
  <c r="HH1" i="6"/>
  <c r="HI1" i="6"/>
  <c r="HJ1" i="6"/>
  <c r="HK1" i="6"/>
  <c r="HL1" i="6"/>
  <c r="HM1" i="6"/>
  <c r="HN1" i="6"/>
  <c r="HO1" i="6"/>
  <c r="HP1" i="6"/>
  <c r="HQ1" i="6"/>
  <c r="HR1" i="6"/>
  <c r="HS1" i="6"/>
  <c r="HT1" i="6"/>
  <c r="HU1" i="6"/>
  <c r="HV1" i="6"/>
  <c r="HW1" i="6"/>
  <c r="HX1" i="6"/>
  <c r="HY1" i="6"/>
  <c r="HZ1" i="6"/>
  <c r="IA1" i="6"/>
  <c r="IB1" i="6"/>
  <c r="IC1" i="6"/>
  <c r="ID1" i="6"/>
  <c r="IE1" i="6"/>
  <c r="IF1" i="6"/>
  <c r="IG1" i="6"/>
  <c r="IH1" i="6"/>
  <c r="II1" i="6"/>
  <c r="IJ1" i="6"/>
  <c r="IK1" i="6"/>
  <c r="IL1" i="6"/>
  <c r="IM1" i="6"/>
  <c r="IN1" i="6"/>
  <c r="IO1" i="6"/>
  <c r="IP1" i="6"/>
  <c r="IQ1" i="6"/>
  <c r="IR1" i="6"/>
  <c r="IS1" i="6"/>
  <c r="IT1" i="6"/>
  <c r="IU1" i="6"/>
  <c r="IV1" i="6"/>
  <c r="F8" i="6"/>
  <c r="S15" i="6"/>
  <c r="BM19" i="6"/>
  <c r="BO19" i="6"/>
  <c r="AM6" i="6"/>
  <c r="L3" i="6"/>
  <c r="HC10" i="6"/>
  <c r="HF10" i="6"/>
  <c r="BK19" i="6" l="1"/>
  <c r="X16" i="6"/>
  <c r="BZ19" i="6"/>
  <c r="BV19" i="6"/>
  <c r="IU9" i="6"/>
  <c r="B9" i="6"/>
  <c r="E10" i="6"/>
  <c r="B10" i="6"/>
  <c r="N14" i="6"/>
  <c r="D12" i="6"/>
  <c r="IR9" i="6"/>
  <c r="IP9" i="6"/>
  <c r="IN9" i="6"/>
  <c r="IL9" i="6"/>
  <c r="IQ9" i="6"/>
  <c r="IM9" i="6"/>
  <c r="IK9" i="6"/>
  <c r="F10" i="6"/>
  <c r="HB10" i="6"/>
  <c r="IO9" i="6"/>
  <c r="I13" i="6"/>
  <c r="BX19" i="6"/>
  <c r="HM10" i="6"/>
  <c r="BL19" i="6"/>
  <c r="BW19" i="6"/>
  <c r="BQ19" i="6"/>
  <c r="CI19" i="6" l="1"/>
  <c r="CB19" i="6"/>
  <c r="HG10" i="6"/>
  <c r="A10" i="6"/>
  <c r="CJ19" i="6" l="1"/>
</calcChain>
</file>

<file path=xl/sharedStrings.xml><?xml version="1.0" encoding="utf-8"?>
<sst xmlns="http://schemas.openxmlformats.org/spreadsheetml/2006/main" count="13467" uniqueCount="134">
  <si>
    <t>Total</t>
  </si>
  <si>
    <t>AAAAAHxc71g=</t>
  </si>
  <si>
    <t>AAAAAHxc71k=</t>
  </si>
  <si>
    <t>AAAAAHxc71o=</t>
  </si>
  <si>
    <t>AAAAAHxc71s=</t>
  </si>
  <si>
    <t>AAAAAHxc71w=</t>
  </si>
  <si>
    <t>Aluminum Cans</t>
  </si>
  <si>
    <t>Food</t>
  </si>
  <si>
    <t>Paper Beverage Cartons/Aseptic Boxes</t>
  </si>
  <si>
    <t>#1 PET Clear/Green Bottles</t>
  </si>
  <si>
    <t>#1 PET Other Color Bottles</t>
  </si>
  <si>
    <t>#2 HDPE Natural Bottles</t>
  </si>
  <si>
    <t>#2 HDPE Pigmented Bottles</t>
  </si>
  <si>
    <t>#3 PVC Bottles</t>
  </si>
  <si>
    <t>#4 LDPE/LLDPE Bottles</t>
  </si>
  <si>
    <t>#5 PP Rigid Bottles</t>
  </si>
  <si>
    <t>#6 PS Rigid Bottles</t>
  </si>
  <si>
    <t>#7 Other Bottles</t>
  </si>
  <si>
    <t>BioPlastic Bottles</t>
  </si>
  <si>
    <t>#1 PET Thermoforms</t>
  </si>
  <si>
    <t>Other PVC</t>
  </si>
  <si>
    <t>Tubs/Lids Excluding #6 Polystyrene</t>
  </si>
  <si>
    <t>#6 Rigid Polystyrene Containers/Packaging</t>
  </si>
  <si>
    <t>#6 EPS Containers/Packaging</t>
  </si>
  <si>
    <t>Film Plastic: Retail Bags and Sleeves</t>
  </si>
  <si>
    <t>Film Plastic: Garbage Bags</t>
  </si>
  <si>
    <t>Film Plastic: Other #2/#4 Polyethylene</t>
  </si>
  <si>
    <t>Film Plastic: Other Non-PE/Contaminated</t>
  </si>
  <si>
    <t>Appliances: Plastic</t>
  </si>
  <si>
    <t>Bulk/Rigid Plastic: Crates/Soda Bottle Carriers</t>
  </si>
  <si>
    <t>Bulk/Rigid Plastic: Toys/Housewares</t>
  </si>
  <si>
    <t>Bulk/Rigid Plastic: Other Durable</t>
  </si>
  <si>
    <t>Other Plastics</t>
  </si>
  <si>
    <t>Clear Container Glass</t>
  </si>
  <si>
    <t>Green Container Glass</t>
  </si>
  <si>
    <t>Brown Container Glass</t>
  </si>
  <si>
    <t>Other Color Container Glass</t>
  </si>
  <si>
    <t>Steel/Tin Food Cans</t>
  </si>
  <si>
    <t>Soda</t>
  </si>
  <si>
    <t>Beer</t>
  </si>
  <si>
    <t>Water</t>
  </si>
  <si>
    <t>Iced Tea/Juice Drinks</t>
  </si>
  <si>
    <t>Sports Drinks</t>
  </si>
  <si>
    <t>Other New Age Drinks</t>
  </si>
  <si>
    <t>Wine</t>
  </si>
  <si>
    <t>Spirits</t>
  </si>
  <si>
    <t>100% Fruit and Vegetable Juices</t>
  </si>
  <si>
    <t>Beverage &gt; 1 Gallon</t>
  </si>
  <si>
    <t>Empty HHW</t>
  </si>
  <si>
    <t>Indistinguishable</t>
  </si>
  <si>
    <t>#2 HDPE Natural</t>
  </si>
  <si>
    <t>#2 HDPE Pigmented</t>
  </si>
  <si>
    <t>#3 PVC</t>
  </si>
  <si>
    <t>#4 LDPE/LLDPE</t>
  </si>
  <si>
    <t>#5 PP Expanded</t>
  </si>
  <si>
    <t>#6 PS Rigid</t>
  </si>
  <si>
    <t>#6 PS Expanded</t>
  </si>
  <si>
    <t>#7 Other</t>
  </si>
  <si>
    <t>Dual Numbered</t>
  </si>
  <si>
    <t>Other Labeled Resin</t>
  </si>
  <si>
    <t>Polyethylene Film (HD/LD/LLD)</t>
  </si>
  <si>
    <t>Non-PE Film</t>
  </si>
  <si>
    <t>Unlabeled Resin</t>
  </si>
  <si>
    <t>#5 PP Rigid</t>
  </si>
  <si>
    <t>Milk/Soy/ Dairy</t>
  </si>
  <si>
    <t>Resin Subsort</t>
  </si>
  <si>
    <t>Beverage Container Subsort</t>
  </si>
  <si>
    <t>Plastic Bottles</t>
  </si>
  <si>
    <t>Rigid Containers/Packaging</t>
  </si>
  <si>
    <t>Other Rigid Containers/Packaging</t>
  </si>
  <si>
    <t>Other Rigid Plastic</t>
  </si>
  <si>
    <t>Expanded Polystyrene</t>
  </si>
  <si>
    <t>Film</t>
  </si>
  <si>
    <t>Type</t>
  </si>
  <si>
    <t>#1 PET Clear/ Green</t>
  </si>
  <si>
    <t>#1 PET Other Color</t>
  </si>
  <si>
    <t>Non-Food/Non-Beverage</t>
  </si>
  <si>
    <t>Single Use Plastic Plates/Cups/Cutlery</t>
  </si>
  <si>
    <t>Film Plastic: Food/Drink Pouches</t>
  </si>
  <si>
    <t>Dual Numbered Plastic Bottles</t>
  </si>
  <si>
    <t>Unlabeled Plastic Bottles</t>
  </si>
  <si>
    <t>BioPlastic</t>
  </si>
  <si>
    <t xml:space="preserve">Citywide Aggregate - Plastic Resin Composition </t>
  </si>
  <si>
    <t xml:space="preserve">Bronx Aggregate - Plastic Resin Composition </t>
  </si>
  <si>
    <t xml:space="preserve">Brooklyn Aggregate - Plastic Resin Composition </t>
  </si>
  <si>
    <t>Manhattan Aggregate - Plastic Resin Composition</t>
  </si>
  <si>
    <t xml:space="preserve">Queens Aggregate - Plastic Resin Composition </t>
  </si>
  <si>
    <t>Staten Island Aggregate - Plastic Resin Composition</t>
  </si>
  <si>
    <t>Bottle, Can and Carton Subsort</t>
  </si>
  <si>
    <t>Other Labeled Resin Bottles</t>
  </si>
  <si>
    <t>Citywide Composition of Bottles, Cans and Cartons in Refuse Stream</t>
  </si>
  <si>
    <t xml:space="preserve">Citywide Refuse - Plastic Resin Composition </t>
  </si>
  <si>
    <t xml:space="preserve">Citywide Composition of Bottles, Cans and Cartons in MGP Stream </t>
  </si>
  <si>
    <t>Citywide MGP - Plastic Resin Composition</t>
  </si>
  <si>
    <t>Citywide Composition of Bottles, Cans and Cartons in Paper Stream</t>
  </si>
  <si>
    <t xml:space="preserve">Citywide Paper - Plastic Resin Composition </t>
  </si>
  <si>
    <t>Bronx Composition of Bottles, Cans and Cartons in Refuse Stream</t>
  </si>
  <si>
    <t xml:space="preserve">Bronx Refuse - Plastic Resin Composition </t>
  </si>
  <si>
    <t>Bronx Composition of Bottles, Cans and Cartons in MGP Stream</t>
  </si>
  <si>
    <t xml:space="preserve">Bronx MGP - Plastic Resin Composition </t>
  </si>
  <si>
    <t>Bronx Composition of Bottles, Cans and Cartons in Paper Stream</t>
  </si>
  <si>
    <t>Bronx Paper - Plastic Resin Composition</t>
  </si>
  <si>
    <t>Brooklyn Composition of Bottles, Cans and Cartons in Refuse Stream</t>
  </si>
  <si>
    <t xml:space="preserve">Brooklyn Refuse - Plastic Resin Composition </t>
  </si>
  <si>
    <t xml:space="preserve">Brooklyn Composition of Bottles, Cans and Cartons in MGP Stream </t>
  </si>
  <si>
    <t xml:space="preserve">Brooklyn MGP - Plastic Resin Composition </t>
  </si>
  <si>
    <t>Brooklyn Composition of Bottles, Cans and Cartons in Paper Stream</t>
  </si>
  <si>
    <t>Brooklyn Paper - Plastic Resin Composition</t>
  </si>
  <si>
    <t>Manhattan Composition of Bottles, Cans and Cartons in Refuse Stream</t>
  </si>
  <si>
    <t xml:space="preserve">Manhattan Refuse - Plastic Resin Composition </t>
  </si>
  <si>
    <t>Manhattan Composition of Bottles, Cans and Cartons in MGP Stream</t>
  </si>
  <si>
    <t>Manhattan MGP - Plastic Resin Composition</t>
  </si>
  <si>
    <t>Manhattan Composition of Bottles, Cans and Cartons in Paper Stream</t>
  </si>
  <si>
    <t xml:space="preserve">Manhattan Paper - Plastic Resin Composition </t>
  </si>
  <si>
    <t>Queens Composition of Bottles, Cans and Cartons in Refuse Stream</t>
  </si>
  <si>
    <t>Queens Refuse - Plastic Resin Composition</t>
  </si>
  <si>
    <t>Queens Composition of Bottles, Cans and Cartons in MGP Stream</t>
  </si>
  <si>
    <t xml:space="preserve">Queens MGP - Plastic Resin Composition </t>
  </si>
  <si>
    <t>Queens Composition of Bottles, Cans and Cartons in Paper Stream</t>
  </si>
  <si>
    <t>Queens Paper - Plastic Resin Composition</t>
  </si>
  <si>
    <t>Queens Composition of Bottles, Cans and Cartons in Aggregate Stream</t>
  </si>
  <si>
    <t>Manhattan Composition of Bottles, Cans and Cartons in Aggregate Stream</t>
  </si>
  <si>
    <t>Brooklyn Composition of Bottles, Cans and Cartons in Aggregate Stream</t>
  </si>
  <si>
    <t>Bronx Composition of Bottles, Cans and Cartons in Aggregate Stream</t>
  </si>
  <si>
    <t>Citywide Composition of Bottles, Cans and Cartons in Aggregate Stream</t>
  </si>
  <si>
    <t>Staten Island Composition of Bottles, Cans and Cartons in Aggregate Stream</t>
  </si>
  <si>
    <t>Staten Island Composition of Bottles, Cans and Cartons in Refuse Stream</t>
  </si>
  <si>
    <t>Staten Island Composition of Bottles, Cans and Cartons in MGP Stream</t>
  </si>
  <si>
    <t xml:space="preserve">Staten Island MGP - Plastic Resin Composition </t>
  </si>
  <si>
    <t>Staten Island Refuse - Plastic Resin Composition</t>
  </si>
  <si>
    <t>Staten Island Composition of Bottles, Cans and Cartons in Paper Stream</t>
  </si>
  <si>
    <t>Staten Island Paper - Plastic Resin Composition</t>
  </si>
  <si>
    <t>--</t>
  </si>
  <si>
    <t>Absolute Composition, Percentage. Results presented to one decimal point. No data means no items were sorted into that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</si>
</sst>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20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9" fontId="8" fillId="0" borderId="0" applyFont="0" applyFill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35" applyNumberFormat="0" applyAlignment="0" applyProtection="0"/>
    <xf numFmtId="0" fontId="23" fillId="10" borderId="36" applyNumberFormat="0" applyAlignment="0" applyProtection="0"/>
    <xf numFmtId="0" fontId="24" fillId="10" borderId="35" applyNumberFormat="0" applyAlignment="0" applyProtection="0"/>
    <xf numFmtId="0" fontId="25" fillId="0" borderId="37" applyNumberFormat="0" applyFill="0" applyAlignment="0" applyProtection="0"/>
    <xf numFmtId="0" fontId="26" fillId="11" borderId="3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0" applyNumberFormat="0" applyFill="0" applyAlignment="0" applyProtection="0"/>
    <xf numFmtId="0" fontId="2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9" fillId="36" borderId="0" applyNumberFormat="0" applyBorder="0" applyAlignment="0" applyProtection="0"/>
    <xf numFmtId="0" fontId="2" fillId="0" borderId="0"/>
    <xf numFmtId="0" fontId="2" fillId="12" borderId="3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9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35" applyNumberFormat="0" applyAlignment="0" applyProtection="0"/>
    <xf numFmtId="0" fontId="23" fillId="10" borderId="36" applyNumberFormat="0" applyAlignment="0" applyProtection="0"/>
    <xf numFmtId="0" fontId="24" fillId="10" borderId="35" applyNumberFormat="0" applyAlignment="0" applyProtection="0"/>
    <xf numFmtId="0" fontId="25" fillId="0" borderId="37" applyNumberFormat="0" applyFill="0" applyAlignment="0" applyProtection="0"/>
    <xf numFmtId="0" fontId="26" fillId="11" borderId="3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0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</cellStyleXfs>
  <cellXfs count="110">
    <xf numFmtId="0" fontId="0" fillId="0" borderId="0" xfId="0"/>
    <xf numFmtId="43" fontId="0" fillId="0" borderId="0" xfId="1" applyFont="1"/>
    <xf numFmtId="0" fontId="9" fillId="0" borderId="0" xfId="2"/>
    <xf numFmtId="0" fontId="9" fillId="0" borderId="0" xfId="3" applyFont="1"/>
    <xf numFmtId="9" fontId="0" fillId="0" borderId="0" xfId="4" applyFont="1"/>
    <xf numFmtId="0" fontId="11" fillId="0" borderId="0" xfId="0" applyFont="1" applyAlignment="1">
      <alignment wrapText="1"/>
    </xf>
    <xf numFmtId="164" fontId="11" fillId="5" borderId="16" xfId="4" applyNumberFormat="1" applyFont="1" applyFill="1" applyBorder="1" applyAlignment="1">
      <alignment horizontal="right"/>
    </xf>
    <xf numFmtId="164" fontId="11" fillId="5" borderId="17" xfId="4" applyNumberFormat="1" applyFont="1" applyFill="1" applyBorder="1" applyAlignment="1">
      <alignment horizontal="right"/>
    </xf>
    <xf numFmtId="0" fontId="12" fillId="3" borderId="6" xfId="0" applyFont="1" applyFill="1" applyBorder="1" applyAlignment="1"/>
    <xf numFmtId="0" fontId="11" fillId="5" borderId="14" xfId="0" applyFont="1" applyFill="1" applyBorder="1" applyAlignment="1"/>
    <xf numFmtId="164" fontId="11" fillId="5" borderId="3" xfId="4" applyNumberFormat="1" applyFont="1" applyFill="1" applyBorder="1" applyAlignment="1">
      <alignment horizontal="right"/>
    </xf>
    <xf numFmtId="164" fontId="11" fillId="5" borderId="19" xfId="4" applyNumberFormat="1" applyFont="1" applyFill="1" applyBorder="1" applyAlignment="1">
      <alignment horizontal="right"/>
    </xf>
    <xf numFmtId="164" fontId="11" fillId="3" borderId="6" xfId="0" applyNumberFormat="1" applyFont="1" applyFill="1" applyBorder="1" applyAlignment="1">
      <alignment horizontal="right"/>
    </xf>
    <xf numFmtId="164" fontId="11" fillId="3" borderId="22" xfId="4" applyNumberFormat="1" applyFont="1" applyFill="1" applyBorder="1" applyAlignment="1">
      <alignment horizontal="right"/>
    </xf>
    <xf numFmtId="0" fontId="11" fillId="0" borderId="0" xfId="0" applyFont="1"/>
    <xf numFmtId="164" fontId="11" fillId="3" borderId="10" xfId="4" applyNumberFormat="1" applyFont="1" applyFill="1" applyBorder="1" applyAlignment="1">
      <alignment horizontal="right"/>
    </xf>
    <xf numFmtId="0" fontId="11" fillId="0" borderId="0" xfId="0" applyFont="1"/>
    <xf numFmtId="164" fontId="11" fillId="4" borderId="17" xfId="4" applyNumberFormat="1" applyFont="1" applyFill="1" applyBorder="1" applyAlignment="1">
      <alignment horizontal="right"/>
    </xf>
    <xf numFmtId="0" fontId="11" fillId="4" borderId="14" xfId="0" applyFont="1" applyFill="1" applyBorder="1" applyAlignment="1"/>
    <xf numFmtId="164" fontId="11" fillId="4" borderId="19" xfId="4" applyNumberFormat="1" applyFont="1" applyFill="1" applyBorder="1" applyAlignment="1">
      <alignment horizontal="right"/>
    </xf>
    <xf numFmtId="164" fontId="11" fillId="4" borderId="3" xfId="4" applyNumberFormat="1" applyFont="1" applyFill="1" applyBorder="1" applyAlignment="1">
      <alignment horizontal="right"/>
    </xf>
    <xf numFmtId="0" fontId="11" fillId="0" borderId="0" xfId="0" applyFont="1"/>
    <xf numFmtId="0" fontId="11" fillId="5" borderId="11" xfId="0" applyFont="1" applyFill="1" applyBorder="1" applyAlignment="1"/>
    <xf numFmtId="0" fontId="11" fillId="4" borderId="11" xfId="0" applyFont="1" applyFill="1" applyBorder="1" applyAlignment="1"/>
    <xf numFmtId="0" fontId="12" fillId="2" borderId="5" xfId="0" applyFont="1" applyFill="1" applyBorder="1" applyAlignment="1">
      <alignment horizontal="right"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horizontal="right" wrapText="1"/>
    </xf>
    <xf numFmtId="0" fontId="12" fillId="2" borderId="8" xfId="0" applyFont="1" applyFill="1" applyBorder="1" applyAlignment="1">
      <alignment horizontal="right" wrapText="1"/>
    </xf>
    <xf numFmtId="0" fontId="12" fillId="3" borderId="43" xfId="0" applyFont="1" applyFill="1" applyBorder="1" applyAlignment="1"/>
    <xf numFmtId="164" fontId="11" fillId="3" borderId="43" xfId="0" applyNumberFormat="1" applyFont="1" applyFill="1" applyBorder="1" applyAlignment="1">
      <alignment horizontal="right"/>
    </xf>
    <xf numFmtId="0" fontId="0" fillId="0" borderId="0" xfId="0"/>
    <xf numFmtId="0" fontId="11" fillId="0" borderId="0" xfId="0" applyFont="1" applyAlignment="1"/>
    <xf numFmtId="0" fontId="12" fillId="2" borderId="7" xfId="0" applyFont="1" applyFill="1" applyBorder="1" applyAlignment="1">
      <alignment horizontal="right" wrapText="1"/>
    </xf>
    <xf numFmtId="0" fontId="12" fillId="2" borderId="4" xfId="0" applyFont="1" applyFill="1" applyBorder="1" applyAlignment="1">
      <alignment horizontal="right"/>
    </xf>
    <xf numFmtId="0" fontId="12" fillId="3" borderId="24" xfId="0" applyFont="1" applyFill="1" applyBorder="1"/>
    <xf numFmtId="0" fontId="11" fillId="4" borderId="23" xfId="0" applyFont="1" applyFill="1" applyBorder="1"/>
    <xf numFmtId="0" fontId="11" fillId="5" borderId="23" xfId="0" applyFont="1" applyFill="1" applyBorder="1"/>
    <xf numFmtId="0" fontId="12" fillId="2" borderId="8" xfId="0" applyFont="1" applyFill="1" applyBorder="1"/>
    <xf numFmtId="0" fontId="12" fillId="2" borderId="25" xfId="0" applyFont="1" applyFill="1" applyBorder="1"/>
    <xf numFmtId="0" fontId="11" fillId="5" borderId="13" xfId="0" applyFont="1" applyFill="1" applyBorder="1"/>
    <xf numFmtId="0" fontId="11" fillId="0" borderId="13" xfId="0" applyFont="1" applyBorder="1"/>
    <xf numFmtId="0" fontId="12" fillId="3" borderId="10" xfId="0" applyFont="1" applyFill="1" applyBorder="1"/>
    <xf numFmtId="0" fontId="11" fillId="0" borderId="17" xfId="0" applyFont="1" applyBorder="1"/>
    <xf numFmtId="0" fontId="11" fillId="4" borderId="15" xfId="0" applyFont="1" applyFill="1" applyBorder="1"/>
    <xf numFmtId="0" fontId="12" fillId="2" borderId="27" xfId="0" applyFont="1" applyFill="1" applyBorder="1" applyAlignment="1">
      <alignment horizontal="right" wrapText="1"/>
    </xf>
    <xf numFmtId="0" fontId="12" fillId="2" borderId="2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164" fontId="11" fillId="3" borderId="46" xfId="4" applyNumberFormat="1" applyFont="1" applyFill="1" applyBorder="1" applyAlignment="1">
      <alignment horizontal="right"/>
    </xf>
    <xf numFmtId="0" fontId="11" fillId="5" borderId="11" xfId="6" applyFont="1" applyFill="1" applyBorder="1" applyAlignment="1"/>
    <xf numFmtId="0" fontId="11" fillId="4" borderId="11" xfId="6" applyFont="1" applyFill="1" applyBorder="1" applyAlignment="1"/>
    <xf numFmtId="0" fontId="12" fillId="2" borderId="5" xfId="6" applyFont="1" applyFill="1" applyBorder="1" applyAlignment="1">
      <alignment horizontal="right" wrapText="1"/>
    </xf>
    <xf numFmtId="0" fontId="12" fillId="2" borderId="4" xfId="6" applyFont="1" applyFill="1" applyBorder="1" applyAlignment="1">
      <alignment wrapText="1"/>
    </xf>
    <xf numFmtId="0" fontId="12" fillId="2" borderId="21" xfId="6" applyFont="1" applyFill="1" applyBorder="1" applyAlignment="1">
      <alignment horizontal="right" wrapText="1"/>
    </xf>
    <xf numFmtId="164" fontId="11" fillId="4" borderId="1" xfId="4" applyNumberFormat="1" applyFont="1" applyFill="1" applyBorder="1" applyAlignment="1">
      <alignment horizontal="right"/>
    </xf>
    <xf numFmtId="164" fontId="11" fillId="5" borderId="1" xfId="4" applyNumberFormat="1" applyFont="1" applyFill="1" applyBorder="1" applyAlignment="1">
      <alignment horizontal="right"/>
    </xf>
    <xf numFmtId="164" fontId="11" fillId="5" borderId="13" xfId="4" applyNumberFormat="1" applyFont="1" applyFill="1" applyBorder="1" applyAlignment="1">
      <alignment horizontal="right"/>
    </xf>
    <xf numFmtId="164" fontId="11" fillId="4" borderId="13" xfId="4" applyNumberFormat="1" applyFont="1" applyFill="1" applyBorder="1" applyAlignment="1">
      <alignment horizontal="right"/>
    </xf>
    <xf numFmtId="0" fontId="12" fillId="2" borderId="8" xfId="6" applyFont="1" applyFill="1" applyBorder="1" applyAlignment="1">
      <alignment horizontal="right" wrapText="1"/>
    </xf>
    <xf numFmtId="164" fontId="11" fillId="4" borderId="18" xfId="4" applyNumberFormat="1" applyFont="1" applyFill="1" applyBorder="1" applyAlignment="1">
      <alignment horizontal="right"/>
    </xf>
    <xf numFmtId="164" fontId="11" fillId="5" borderId="18" xfId="4" applyNumberFormat="1" applyFont="1" applyFill="1" applyBorder="1" applyAlignment="1">
      <alignment horizontal="right"/>
    </xf>
    <xf numFmtId="0" fontId="12" fillId="3" borderId="43" xfId="6" applyFont="1" applyFill="1" applyBorder="1" applyAlignment="1"/>
    <xf numFmtId="164" fontId="11" fillId="3" borderId="31" xfId="4" applyNumberFormat="1" applyFont="1" applyFill="1" applyBorder="1" applyAlignment="1">
      <alignment horizontal="right"/>
    </xf>
    <xf numFmtId="164" fontId="11" fillId="3" borderId="44" xfId="4" applyNumberFormat="1" applyFont="1" applyFill="1" applyBorder="1" applyAlignment="1">
      <alignment horizontal="right"/>
    </xf>
    <xf numFmtId="164" fontId="11" fillId="3" borderId="45" xfId="4" applyNumberFormat="1" applyFont="1" applyFill="1" applyBorder="1" applyAlignment="1">
      <alignment horizontal="right"/>
    </xf>
    <xf numFmtId="164" fontId="11" fillId="3" borderId="43" xfId="6" applyNumberFormat="1" applyFont="1" applyFill="1" applyBorder="1" applyAlignment="1">
      <alignment horizontal="right"/>
    </xf>
    <xf numFmtId="0" fontId="8" fillId="0" borderId="0" xfId="6"/>
    <xf numFmtId="164" fontId="11" fillId="5" borderId="12" xfId="4" applyNumberFormat="1" applyFont="1" applyFill="1" applyBorder="1" applyAlignment="1">
      <alignment horizontal="right"/>
    </xf>
    <xf numFmtId="164" fontId="11" fillId="4" borderId="12" xfId="4" applyNumberFormat="1" applyFont="1" applyFill="1" applyBorder="1" applyAlignment="1">
      <alignment horizontal="right"/>
    </xf>
    <xf numFmtId="0" fontId="12" fillId="2" borderId="7" xfId="6" applyFont="1" applyFill="1" applyBorder="1" applyAlignment="1">
      <alignment horizontal="right" wrapText="1"/>
    </xf>
    <xf numFmtId="0" fontId="12" fillId="2" borderId="4" xfId="6" applyFont="1" applyFill="1" applyBorder="1" applyAlignment="1">
      <alignment horizontal="right"/>
    </xf>
    <xf numFmtId="0" fontId="12" fillId="3" borderId="24" xfId="6" applyFont="1" applyFill="1" applyBorder="1"/>
    <xf numFmtId="0" fontId="11" fillId="4" borderId="23" xfId="6" applyFont="1" applyFill="1" applyBorder="1"/>
    <xf numFmtId="0" fontId="11" fillId="5" borderId="23" xfId="6" applyFont="1" applyFill="1" applyBorder="1"/>
    <xf numFmtId="164" fontId="11" fillId="3" borderId="9" xfId="4" applyNumberFormat="1" applyFont="1" applyFill="1" applyBorder="1" applyAlignment="1">
      <alignment horizontal="right"/>
    </xf>
    <xf numFmtId="164" fontId="11" fillId="4" borderId="16" xfId="4" applyNumberFormat="1" applyFont="1" applyFill="1" applyBorder="1" applyAlignment="1">
      <alignment horizontal="right"/>
    </xf>
    <xf numFmtId="164" fontId="11" fillId="4" borderId="14" xfId="4" applyNumberFormat="1" applyFont="1" applyFill="1" applyBorder="1" applyAlignment="1">
      <alignment horizontal="right"/>
    </xf>
    <xf numFmtId="0" fontId="12" fillId="2" borderId="8" xfId="6" applyFont="1" applyFill="1" applyBorder="1"/>
    <xf numFmtId="0" fontId="12" fillId="2" borderId="25" xfId="6" applyFont="1" applyFill="1" applyBorder="1"/>
    <xf numFmtId="0" fontId="11" fillId="5" borderId="13" xfId="6" applyFont="1" applyFill="1" applyBorder="1"/>
    <xf numFmtId="0" fontId="11" fillId="0" borderId="13" xfId="6" applyFont="1" applyBorder="1"/>
    <xf numFmtId="0" fontId="12" fillId="3" borderId="10" xfId="6" applyFont="1" applyFill="1" applyBorder="1"/>
    <xf numFmtId="0" fontId="11" fillId="0" borderId="17" xfId="6" applyFont="1" applyBorder="1"/>
    <xf numFmtId="0" fontId="11" fillId="4" borderId="15" xfId="6" applyFont="1" applyFill="1" applyBorder="1"/>
    <xf numFmtId="0" fontId="12" fillId="2" borderId="27" xfId="6" applyFont="1" applyFill="1" applyBorder="1" applyAlignment="1">
      <alignment horizontal="right" wrapText="1"/>
    </xf>
    <xf numFmtId="164" fontId="11" fillId="5" borderId="2" xfId="4" applyNumberFormat="1" applyFont="1" applyFill="1" applyBorder="1" applyAlignment="1">
      <alignment horizontal="right"/>
    </xf>
    <xf numFmtId="164" fontId="11" fillId="4" borderId="2" xfId="4" applyNumberFormat="1" applyFont="1" applyFill="1" applyBorder="1" applyAlignment="1">
      <alignment horizontal="right"/>
    </xf>
    <xf numFmtId="164" fontId="11" fillId="4" borderId="20" xfId="4" applyNumberFormat="1" applyFont="1" applyFill="1" applyBorder="1" applyAlignment="1">
      <alignment horizontal="right"/>
    </xf>
    <xf numFmtId="164" fontId="11" fillId="3" borderId="28" xfId="4" applyNumberFormat="1" applyFont="1" applyFill="1" applyBorder="1" applyAlignment="1">
      <alignment horizontal="right"/>
    </xf>
    <xf numFmtId="164" fontId="11" fillId="5" borderId="11" xfId="4" applyNumberFormat="1" applyFont="1" applyFill="1" applyBorder="1" applyAlignment="1">
      <alignment horizontal="right"/>
    </xf>
    <xf numFmtId="164" fontId="11" fillId="4" borderId="11" xfId="4" applyNumberFormat="1" applyFont="1" applyFill="1" applyBorder="1" applyAlignment="1">
      <alignment horizontal="right"/>
    </xf>
    <xf numFmtId="164" fontId="11" fillId="3" borderId="6" xfId="4" applyNumberFormat="1" applyFont="1" applyFill="1" applyBorder="1" applyAlignment="1">
      <alignment horizontal="right"/>
    </xf>
    <xf numFmtId="0" fontId="12" fillId="2" borderId="26" xfId="6" applyFont="1" applyFill="1" applyBorder="1" applyAlignment="1">
      <alignment horizontal="center" wrapText="1"/>
    </xf>
    <xf numFmtId="0" fontId="12" fillId="2" borderId="7" xfId="6" applyFont="1" applyFill="1" applyBorder="1" applyAlignment="1">
      <alignment horizontal="center" wrapText="1"/>
    </xf>
    <xf numFmtId="164" fontId="11" fillId="5" borderId="41" xfId="4" applyNumberFormat="1" applyFont="1" applyFill="1" applyBorder="1" applyAlignment="1">
      <alignment horizontal="center"/>
    </xf>
    <xf numFmtId="164" fontId="11" fillId="5" borderId="42" xfId="4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164" fontId="12" fillId="3" borderId="22" xfId="4" applyNumberFormat="1" applyFont="1" applyFill="1" applyBorder="1" applyAlignment="1">
      <alignment horizontal="right"/>
    </xf>
    <xf numFmtId="164" fontId="12" fillId="3" borderId="9" xfId="4" applyNumberFormat="1" applyFont="1" applyFill="1" applyBorder="1" applyAlignment="1">
      <alignment horizontal="right"/>
    </xf>
    <xf numFmtId="164" fontId="12" fillId="3" borderId="10" xfId="4" applyNumberFormat="1" applyFont="1" applyFill="1" applyBorder="1" applyAlignment="1">
      <alignment horizontal="right"/>
    </xf>
    <xf numFmtId="164" fontId="12" fillId="3" borderId="6" xfId="0" applyNumberFormat="1" applyFont="1" applyFill="1" applyBorder="1" applyAlignment="1">
      <alignment horizontal="right"/>
    </xf>
    <xf numFmtId="0" fontId="13" fillId="0" borderId="0" xfId="0" applyFont="1" applyAlignment="1">
      <alignment horizontal="left"/>
    </xf>
    <xf numFmtId="164" fontId="11" fillId="3" borderId="30" xfId="4" applyNumberFormat="1" applyFont="1" applyFill="1" applyBorder="1" applyAlignment="1">
      <alignment horizontal="center"/>
    </xf>
    <xf numFmtId="164" fontId="11" fillId="3" borderId="31" xfId="4" applyNumberFormat="1" applyFont="1" applyFill="1" applyBorder="1" applyAlignment="1">
      <alignment horizontal="center"/>
    </xf>
    <xf numFmtId="164" fontId="11" fillId="4" borderId="23" xfId="4" applyNumberFormat="1" applyFont="1" applyFill="1" applyBorder="1" applyAlignment="1">
      <alignment horizontal="center"/>
    </xf>
    <xf numFmtId="164" fontId="11" fillId="4" borderId="1" xfId="4" applyNumberFormat="1" applyFont="1" applyFill="1" applyBorder="1" applyAlignment="1">
      <alignment horizontal="center"/>
    </xf>
    <xf numFmtId="164" fontId="11" fillId="5" borderId="23" xfId="4" applyNumberFormat="1" applyFont="1" applyFill="1" applyBorder="1" applyAlignment="1">
      <alignment horizontal="center"/>
    </xf>
    <xf numFmtId="164" fontId="11" fillId="5" borderId="1" xfId="4" applyNumberFormat="1" applyFont="1" applyFill="1" applyBorder="1" applyAlignment="1">
      <alignment horizontal="center"/>
    </xf>
    <xf numFmtId="164" fontId="11" fillId="4" borderId="29" xfId="4" applyNumberFormat="1" applyFont="1" applyFill="1" applyBorder="1" applyAlignment="1">
      <alignment horizontal="center"/>
    </xf>
    <xf numFmtId="164" fontId="11" fillId="4" borderId="3" xfId="4" applyNumberFormat="1" applyFont="1" applyFill="1" applyBorder="1" applyAlignment="1">
      <alignment horizontal="center"/>
    </xf>
    <xf numFmtId="0" fontId="13" fillId="0" borderId="0" xfId="6" applyFont="1" applyAlignment="1">
      <alignment horizontal="left"/>
    </xf>
  </cellXfs>
  <cellStyles count="120">
    <cellStyle name="20% - Accent1" xfId="28" builtinId="30" customBuiltin="1"/>
    <cellStyle name="20% - Accent1 2" xfId="97"/>
    <cellStyle name="20% - Accent1 3" xfId="61"/>
    <cellStyle name="20% - Accent2" xfId="32" builtinId="34" customBuiltin="1"/>
    <cellStyle name="20% - Accent2 2" xfId="101"/>
    <cellStyle name="20% - Accent2 3" xfId="63"/>
    <cellStyle name="20% - Accent3" xfId="36" builtinId="38" customBuiltin="1"/>
    <cellStyle name="20% - Accent3 2" xfId="105"/>
    <cellStyle name="20% - Accent3 3" xfId="65"/>
    <cellStyle name="20% - Accent4" xfId="40" builtinId="42" customBuiltin="1"/>
    <cellStyle name="20% - Accent4 2" xfId="109"/>
    <cellStyle name="20% - Accent4 3" xfId="67"/>
    <cellStyle name="20% - Accent5" xfId="44" builtinId="46" customBuiltin="1"/>
    <cellStyle name="20% - Accent5 2" xfId="113"/>
    <cellStyle name="20% - Accent5 3" xfId="69"/>
    <cellStyle name="20% - Accent6" xfId="48" builtinId="50" customBuiltin="1"/>
    <cellStyle name="20% - Accent6 2" xfId="117"/>
    <cellStyle name="20% - Accent6 3" xfId="71"/>
    <cellStyle name="40% - Accent1" xfId="29" builtinId="31" customBuiltin="1"/>
    <cellStyle name="40% - Accent1 2" xfId="98"/>
    <cellStyle name="40% - Accent1 3" xfId="62"/>
    <cellStyle name="40% - Accent2" xfId="33" builtinId="35" customBuiltin="1"/>
    <cellStyle name="40% - Accent2 2" xfId="102"/>
    <cellStyle name="40% - Accent2 3" xfId="64"/>
    <cellStyle name="40% - Accent3" xfId="37" builtinId="39" customBuiltin="1"/>
    <cellStyle name="40% - Accent3 2" xfId="106"/>
    <cellStyle name="40% - Accent3 3" xfId="66"/>
    <cellStyle name="40% - Accent4" xfId="41" builtinId="43" customBuiltin="1"/>
    <cellStyle name="40% - Accent4 2" xfId="110"/>
    <cellStyle name="40% - Accent4 3" xfId="68"/>
    <cellStyle name="40% - Accent5" xfId="45" builtinId="47" customBuiltin="1"/>
    <cellStyle name="40% - Accent5 2" xfId="114"/>
    <cellStyle name="40% - Accent5 3" xfId="70"/>
    <cellStyle name="40% - Accent6" xfId="49" builtinId="51" customBuiltin="1"/>
    <cellStyle name="40% - Accent6 2" xfId="118"/>
    <cellStyle name="40% - Accent6 3" xfId="72"/>
    <cellStyle name="60% - Accent1" xfId="30" builtinId="32" customBuiltin="1"/>
    <cellStyle name="60% - Accent1 2" xfId="99"/>
    <cellStyle name="60% - Accent2" xfId="34" builtinId="36" customBuiltin="1"/>
    <cellStyle name="60% - Accent2 2" xfId="103"/>
    <cellStyle name="60% - Accent3" xfId="38" builtinId="40" customBuiltin="1"/>
    <cellStyle name="60% - Accent3 2" xfId="107"/>
    <cellStyle name="60% - Accent4" xfId="42" builtinId="44" customBuiltin="1"/>
    <cellStyle name="60% - Accent4 2" xfId="111"/>
    <cellStyle name="60% - Accent5" xfId="46" builtinId="48" customBuiltin="1"/>
    <cellStyle name="60% - Accent5 2" xfId="115"/>
    <cellStyle name="60% - Accent6" xfId="50" builtinId="52" customBuiltin="1"/>
    <cellStyle name="60% - Accent6 2" xfId="119"/>
    <cellStyle name="Accent1" xfId="27" builtinId="29" customBuiltin="1"/>
    <cellStyle name="Accent1 2" xfId="96"/>
    <cellStyle name="Accent2" xfId="31" builtinId="33" customBuiltin="1"/>
    <cellStyle name="Accent2 2" xfId="100"/>
    <cellStyle name="Accent3" xfId="35" builtinId="37" customBuiltin="1"/>
    <cellStyle name="Accent3 2" xfId="104"/>
    <cellStyle name="Accent4" xfId="39" builtinId="41" customBuiltin="1"/>
    <cellStyle name="Accent4 2" xfId="108"/>
    <cellStyle name="Accent5" xfId="43" builtinId="45" customBuiltin="1"/>
    <cellStyle name="Accent5 2" xfId="112"/>
    <cellStyle name="Accent6" xfId="47" builtinId="49" customBuiltin="1"/>
    <cellStyle name="Accent6 2" xfId="116"/>
    <cellStyle name="Bad" xfId="17" builtinId="27" customBuiltin="1"/>
    <cellStyle name="Bad 2" xfId="86"/>
    <cellStyle name="Calculation" xfId="21" builtinId="22" customBuiltin="1"/>
    <cellStyle name="Calculation 2" xfId="90"/>
    <cellStyle name="Check Cell" xfId="23" builtinId="23" customBuiltin="1"/>
    <cellStyle name="Check Cell 2" xfId="92"/>
    <cellStyle name="Comma" xfId="1" builtinId="3"/>
    <cellStyle name="Explanatory Text" xfId="25" builtinId="53" customBuiltin="1"/>
    <cellStyle name="Explanatory Text 2" xfId="94"/>
    <cellStyle name="Followed Hyperlink" xfId="54" builtinId="9" customBuiltin="1"/>
    <cellStyle name="Good" xfId="16" builtinId="26" customBuiltin="1"/>
    <cellStyle name="Good 2" xfId="85"/>
    <cellStyle name="Heading 1" xfId="12" builtinId="16" customBuiltin="1"/>
    <cellStyle name="Heading 1 2" xfId="81"/>
    <cellStyle name="Heading 2" xfId="13" builtinId="17" customBuiltin="1"/>
    <cellStyle name="Heading 2 2" xfId="82"/>
    <cellStyle name="Heading 3" xfId="14" builtinId="18" customBuiltin="1"/>
    <cellStyle name="Heading 3 2" xfId="83"/>
    <cellStyle name="Heading 4" xfId="15" builtinId="19" customBuiltin="1"/>
    <cellStyle name="Heading 4 2" xfId="84"/>
    <cellStyle name="Hyperlink" xfId="53" builtinId="8" customBuiltin="1"/>
    <cellStyle name="Input" xfId="19" builtinId="20" customBuiltin="1"/>
    <cellStyle name="Input 2" xfId="88"/>
    <cellStyle name="Linked Cell" xfId="22" builtinId="24" customBuiltin="1"/>
    <cellStyle name="Linked Cell 2" xfId="91"/>
    <cellStyle name="Neutral" xfId="18" builtinId="28" customBuiltin="1"/>
    <cellStyle name="Neutral 2" xfId="87"/>
    <cellStyle name="Normal" xfId="0" builtinId="0"/>
    <cellStyle name="Normal 2" xfId="5"/>
    <cellStyle name="Normal 2 2" xfId="7"/>
    <cellStyle name="Normal 2 2 2" xfId="77"/>
    <cellStyle name="Normal 2 2 3" xfId="57"/>
    <cellStyle name="Normal 2 3" xfId="8"/>
    <cellStyle name="Normal 2 3 2" xfId="78"/>
    <cellStyle name="Normal 2 3 3" xfId="58"/>
    <cellStyle name="Normal 2 4" xfId="9"/>
    <cellStyle name="Normal 2 4 2" xfId="79"/>
    <cellStyle name="Normal 2 4 3" xfId="59"/>
    <cellStyle name="Normal 2 5" xfId="76"/>
    <cellStyle name="Normal 2 6" xfId="56"/>
    <cellStyle name="Normal 3" xfId="6"/>
    <cellStyle name="Normal 4" xfId="10"/>
    <cellStyle name="Normal 4 2" xfId="80"/>
    <cellStyle name="Normal 4 3" xfId="60"/>
    <cellStyle name="Normal 5" xfId="51"/>
    <cellStyle name="Normal 5 2" xfId="73"/>
    <cellStyle name="Normal_RawData" xfId="2"/>
    <cellStyle name="Normal_RawData_1" xfId="3"/>
    <cellStyle name="Note 2" xfId="52"/>
    <cellStyle name="Note 2 2" xfId="74"/>
    <cellStyle name="Output" xfId="20" builtinId="21" customBuiltin="1"/>
    <cellStyle name="Output 2" xfId="89"/>
    <cellStyle name="Percent" xfId="4" builtinId="5"/>
    <cellStyle name="Percent 2" xfId="55"/>
    <cellStyle name="Percent 2 2" xfId="75"/>
    <cellStyle name="Title" xfId="11" builtinId="15" customBuiltin="1"/>
    <cellStyle name="Total" xfId="26" builtinId="25" customBuiltin="1"/>
    <cellStyle name="Total 2" xfId="95"/>
    <cellStyle name="Warning Text" xfId="24" builtinId="11" customBuiltin="1"/>
    <cellStyle name="Warning Text 2" xfId="93"/>
  </cellStyles>
  <dxfs count="24"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0000CC"/>
      <color rgb="FF996633"/>
      <color rgb="FFFAC090"/>
      <color rgb="FFB3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V19"/>
  <sheetViews>
    <sheetView workbookViewId="0">
      <selection activeCell="CO19" sqref="CO19"/>
    </sheetView>
  </sheetViews>
  <sheetFormatPr defaultRowHeight="12.75" x14ac:dyDescent="0.2"/>
  <sheetData>
    <row r="1" spans="1:256" x14ac:dyDescent="0.2">
      <c r="A1" t="e">
        <f>IF(#REF!,"AAAAAC/99gA=",0)</f>
        <v>#REF!</v>
      </c>
      <c r="B1" t="e">
        <f>AND(#REF!,"AAAAAC/99gE=")</f>
        <v>#REF!</v>
      </c>
      <c r="C1" t="e">
        <f>AND(#REF!,"AAAAAC/99gI=")</f>
        <v>#REF!</v>
      </c>
      <c r="D1" t="e">
        <f>AND(#REF!,"AAAAAC/99gM=")</f>
        <v>#REF!</v>
      </c>
      <c r="E1" t="e">
        <f>AND(#REF!,"AAAAAC/99gQ=")</f>
        <v>#REF!</v>
      </c>
      <c r="F1" t="e">
        <f>AND(#REF!,"AAAAAC/99gU=")</f>
        <v>#REF!</v>
      </c>
      <c r="G1" t="e">
        <f>AND(#REF!,"AAAAAC/99gY=")</f>
        <v>#REF!</v>
      </c>
      <c r="H1" t="e">
        <f>AND(#REF!,"AAAAAC/99gc=")</f>
        <v>#REF!</v>
      </c>
      <c r="I1" t="e">
        <f>AND(#REF!,"AAAAAC/99gg=")</f>
        <v>#REF!</v>
      </c>
      <c r="J1" t="e">
        <f>AND(#REF!,"AAAAAC/99gk=")</f>
        <v>#REF!</v>
      </c>
      <c r="K1" t="e">
        <f>AND(#REF!,"AAAAAC/99go=")</f>
        <v>#REF!</v>
      </c>
      <c r="L1" t="e">
        <f>AND(#REF!,"AAAAAC/99gs=")</f>
        <v>#REF!</v>
      </c>
      <c r="M1" t="e">
        <f>AND(#REF!,"AAAAAC/99gw=")</f>
        <v>#REF!</v>
      </c>
      <c r="N1" t="e">
        <f>AND(#REF!,"AAAAAC/99g0=")</f>
        <v>#REF!</v>
      </c>
      <c r="O1" t="e">
        <f>AND(#REF!,"AAAAAC/99g4=")</f>
        <v>#REF!</v>
      </c>
      <c r="P1" t="e">
        <f>AND(#REF!,"AAAAAC/99g8=")</f>
        <v>#REF!</v>
      </c>
      <c r="Q1" t="e">
        <f>AND(#REF!,"AAAAAC/99hA=")</f>
        <v>#REF!</v>
      </c>
      <c r="R1" t="e">
        <f>IF(#REF!,"AAAAAC/99hE=",0)</f>
        <v>#REF!</v>
      </c>
      <c r="S1" t="e">
        <f>AND(#REF!,"AAAAAC/99hI=")</f>
        <v>#REF!</v>
      </c>
      <c r="T1" t="e">
        <f>AND(#REF!,"AAAAAC/99hM=")</f>
        <v>#REF!</v>
      </c>
      <c r="U1" t="e">
        <f>AND(#REF!,"AAAAAC/99hQ=")</f>
        <v>#REF!</v>
      </c>
      <c r="V1" t="e">
        <f>AND(#REF!,"AAAAAC/99hU=")</f>
        <v>#REF!</v>
      </c>
      <c r="W1" t="e">
        <f>AND(#REF!,"AAAAAC/99hY=")</f>
        <v>#REF!</v>
      </c>
      <c r="X1" t="e">
        <f>AND(#REF!,"AAAAAC/99hc=")</f>
        <v>#REF!</v>
      </c>
      <c r="Y1" t="e">
        <f>AND(#REF!,"AAAAAC/99hg=")</f>
        <v>#REF!</v>
      </c>
      <c r="Z1" t="e">
        <f>AND(#REF!,"AAAAAC/99hk=")</f>
        <v>#REF!</v>
      </c>
      <c r="AA1" t="e">
        <f>AND(#REF!,"AAAAAC/99ho=")</f>
        <v>#REF!</v>
      </c>
      <c r="AB1" t="e">
        <f>AND(#REF!,"AAAAAC/99hs=")</f>
        <v>#REF!</v>
      </c>
      <c r="AC1" t="e">
        <f>AND(#REF!,"AAAAAC/99hw=")</f>
        <v>#REF!</v>
      </c>
      <c r="AD1" t="e">
        <f>AND(#REF!,"AAAAAC/99h0=")</f>
        <v>#REF!</v>
      </c>
      <c r="AE1" t="e">
        <f>AND(#REF!,"AAAAAC/99h4=")</f>
        <v>#REF!</v>
      </c>
      <c r="AF1" t="e">
        <f>AND(#REF!,"AAAAAC/99h8=")</f>
        <v>#REF!</v>
      </c>
      <c r="AG1" t="e">
        <f>AND(#REF!,"AAAAAC/99iA=")</f>
        <v>#REF!</v>
      </c>
      <c r="AH1" t="e">
        <f>AND(#REF!,"AAAAAC/99iE=")</f>
        <v>#REF!</v>
      </c>
      <c r="AI1" t="e">
        <f>IF(#REF!,"AAAAAC/99iI=",0)</f>
        <v>#REF!</v>
      </c>
      <c r="AJ1" t="e">
        <f>AND(#REF!,"AAAAAC/99iM=")</f>
        <v>#REF!</v>
      </c>
      <c r="AK1" t="e">
        <f>AND(#REF!,"AAAAAC/99iQ=")</f>
        <v>#REF!</v>
      </c>
      <c r="AL1" t="e">
        <f>AND(#REF!,"AAAAAC/99iU=")</f>
        <v>#REF!</v>
      </c>
      <c r="AM1" t="e">
        <f>AND(#REF!,"AAAAAC/99iY=")</f>
        <v>#REF!</v>
      </c>
      <c r="AN1" t="e">
        <f>AND(#REF!,"AAAAAC/99ic=")</f>
        <v>#REF!</v>
      </c>
      <c r="AO1" t="e">
        <f>AND(#REF!,"AAAAAC/99ig=")</f>
        <v>#REF!</v>
      </c>
      <c r="AP1" t="e">
        <f>AND(#REF!,"AAAAAC/99ik=")</f>
        <v>#REF!</v>
      </c>
      <c r="AQ1" t="e">
        <f>AND(#REF!,"AAAAAC/99io=")</f>
        <v>#REF!</v>
      </c>
      <c r="AR1" t="e">
        <f>AND(#REF!,"AAAAAC/99is=")</f>
        <v>#REF!</v>
      </c>
      <c r="AS1" t="e">
        <f>AND(#REF!,"AAAAAC/99iw=")</f>
        <v>#REF!</v>
      </c>
      <c r="AT1" t="e">
        <f>AND(#REF!,"AAAAAC/99i0=")</f>
        <v>#REF!</v>
      </c>
      <c r="AU1" t="e">
        <f>AND(#REF!,"AAAAAC/99i4=")</f>
        <v>#REF!</v>
      </c>
      <c r="AV1" t="e">
        <f>AND(#REF!,"AAAAAC/99i8=")</f>
        <v>#REF!</v>
      </c>
      <c r="AW1" t="e">
        <f>AND(#REF!,"AAAAAC/99jA=")</f>
        <v>#REF!</v>
      </c>
      <c r="AX1" t="e">
        <f>AND(#REF!,"AAAAAC/99jE=")</f>
        <v>#REF!</v>
      </c>
      <c r="AY1" t="e">
        <f>AND(#REF!,"AAAAAC/99jI=")</f>
        <v>#REF!</v>
      </c>
      <c r="AZ1" t="e">
        <f>IF(#REF!,"AAAAAC/99jM=",0)</f>
        <v>#REF!</v>
      </c>
      <c r="BA1" t="e">
        <f>AND(#REF!,"AAAAAC/99jQ=")</f>
        <v>#REF!</v>
      </c>
      <c r="BB1" t="e">
        <f>AND(#REF!,"AAAAAC/99jU=")</f>
        <v>#REF!</v>
      </c>
      <c r="BC1" t="e">
        <f>AND(#REF!,"AAAAAC/99jY=")</f>
        <v>#REF!</v>
      </c>
      <c r="BD1" t="e">
        <f>AND(#REF!,"AAAAAC/99jc=")</f>
        <v>#REF!</v>
      </c>
      <c r="BE1" t="e">
        <f>AND(#REF!,"AAAAAC/99jg=")</f>
        <v>#REF!</v>
      </c>
      <c r="BF1" t="e">
        <f>AND(#REF!,"AAAAAC/99jk=")</f>
        <v>#REF!</v>
      </c>
      <c r="BG1" t="e">
        <f>AND(#REF!,"AAAAAC/99jo=")</f>
        <v>#REF!</v>
      </c>
      <c r="BH1" t="e">
        <f>AND(#REF!,"AAAAAC/99js=")</f>
        <v>#REF!</v>
      </c>
      <c r="BI1" t="e">
        <f>AND(#REF!,"AAAAAC/99jw=")</f>
        <v>#REF!</v>
      </c>
      <c r="BJ1" t="e">
        <f>AND(#REF!,"AAAAAC/99j0=")</f>
        <v>#REF!</v>
      </c>
      <c r="BK1" t="e">
        <f>AND(#REF!,"AAAAAC/99j4=")</f>
        <v>#REF!</v>
      </c>
      <c r="BL1" t="e">
        <f>AND(#REF!,"AAAAAC/99j8=")</f>
        <v>#REF!</v>
      </c>
      <c r="BM1" t="e">
        <f>AND(#REF!,"AAAAAC/99kA=")</f>
        <v>#REF!</v>
      </c>
      <c r="BN1" t="e">
        <f>AND(#REF!,"AAAAAC/99kE=")</f>
        <v>#REF!</v>
      </c>
      <c r="BO1" t="e">
        <f>AND(#REF!,"AAAAAC/99kI=")</f>
        <v>#REF!</v>
      </c>
      <c r="BP1" t="e">
        <f>AND(#REF!,"AAAAAC/99kM=")</f>
        <v>#REF!</v>
      </c>
      <c r="BQ1" t="e">
        <f>IF(#REF!,"AAAAAC/99kQ=",0)</f>
        <v>#REF!</v>
      </c>
      <c r="BR1" t="e">
        <f>AND(#REF!,"AAAAAC/99kU=")</f>
        <v>#REF!</v>
      </c>
      <c r="BS1" t="e">
        <f>AND(#REF!,"AAAAAC/99kY=")</f>
        <v>#REF!</v>
      </c>
      <c r="BT1" t="e">
        <f>AND(#REF!,"AAAAAC/99kc=")</f>
        <v>#REF!</v>
      </c>
      <c r="BU1" t="e">
        <f>AND(#REF!,"AAAAAC/99kg=")</f>
        <v>#REF!</v>
      </c>
      <c r="BV1" t="e">
        <f>AND(#REF!,"AAAAAC/99kk=")</f>
        <v>#REF!</v>
      </c>
      <c r="BW1" t="e">
        <f>AND(#REF!,"AAAAAC/99ko=")</f>
        <v>#REF!</v>
      </c>
      <c r="BX1" t="e">
        <f>AND(#REF!,"AAAAAC/99ks=")</f>
        <v>#REF!</v>
      </c>
      <c r="BY1" t="e">
        <f>AND(#REF!,"AAAAAC/99kw=")</f>
        <v>#REF!</v>
      </c>
      <c r="BZ1" t="e">
        <f>AND(#REF!,"AAAAAC/99k0=")</f>
        <v>#REF!</v>
      </c>
      <c r="CA1" t="e">
        <f>AND(#REF!,"AAAAAC/99k4=")</f>
        <v>#REF!</v>
      </c>
      <c r="CB1" t="e">
        <f>AND(#REF!,"AAAAAC/99k8=")</f>
        <v>#REF!</v>
      </c>
      <c r="CC1" t="e">
        <f>AND(#REF!,"AAAAAC/99lA=")</f>
        <v>#REF!</v>
      </c>
      <c r="CD1" t="e">
        <f>AND(#REF!,"AAAAAC/99lE=")</f>
        <v>#REF!</v>
      </c>
      <c r="CE1" t="e">
        <f>AND(#REF!,"AAAAAC/99lI=")</f>
        <v>#REF!</v>
      </c>
      <c r="CF1" t="e">
        <f>AND(#REF!,"AAAAAC/99lM=")</f>
        <v>#REF!</v>
      </c>
      <c r="CG1" t="e">
        <f>AND(#REF!,"AAAAAC/99lQ=")</f>
        <v>#REF!</v>
      </c>
      <c r="CH1" t="e">
        <f>IF(#REF!,"AAAAAC/99lU=",0)</f>
        <v>#REF!</v>
      </c>
      <c r="CI1" t="e">
        <f>AND(#REF!,"AAAAAC/99lY=")</f>
        <v>#REF!</v>
      </c>
      <c r="CJ1" t="e">
        <f>AND(#REF!,"AAAAAC/99lc=")</f>
        <v>#REF!</v>
      </c>
      <c r="CK1" t="e">
        <f>AND(#REF!,"AAAAAC/99lg=")</f>
        <v>#REF!</v>
      </c>
      <c r="CL1" t="e">
        <f>AND(#REF!,"AAAAAC/99lk=")</f>
        <v>#REF!</v>
      </c>
      <c r="CM1" t="e">
        <f>AND(#REF!,"AAAAAC/99lo=")</f>
        <v>#REF!</v>
      </c>
      <c r="CN1" t="e">
        <f>AND(#REF!,"AAAAAC/99ls=")</f>
        <v>#REF!</v>
      </c>
      <c r="CO1" t="e">
        <f>AND(#REF!,"AAAAAC/99lw=")</f>
        <v>#REF!</v>
      </c>
      <c r="CP1" t="e">
        <f>AND(#REF!,"AAAAAC/99l0=")</f>
        <v>#REF!</v>
      </c>
      <c r="CQ1" t="e">
        <f>AND(#REF!,"AAAAAC/99l4=")</f>
        <v>#REF!</v>
      </c>
      <c r="CR1" t="e">
        <f>AND(#REF!,"AAAAAC/99l8=")</f>
        <v>#REF!</v>
      </c>
      <c r="CS1" t="e">
        <f>AND(#REF!,"AAAAAC/99mA=")</f>
        <v>#REF!</v>
      </c>
      <c r="CT1" t="e">
        <f>AND(#REF!,"AAAAAC/99mE=")</f>
        <v>#REF!</v>
      </c>
      <c r="CU1" t="e">
        <f>AND(#REF!,"AAAAAC/99mI=")</f>
        <v>#REF!</v>
      </c>
      <c r="CV1" t="e">
        <f>AND(#REF!,"AAAAAC/99mM=")</f>
        <v>#REF!</v>
      </c>
      <c r="CW1" t="e">
        <f>AND(#REF!,"AAAAAC/99mQ=")</f>
        <v>#REF!</v>
      </c>
      <c r="CX1" t="e">
        <f>AND(#REF!,"AAAAAC/99mU=")</f>
        <v>#REF!</v>
      </c>
      <c r="CY1" t="e">
        <f>IF(#REF!,"AAAAAC/99mY=",0)</f>
        <v>#REF!</v>
      </c>
      <c r="CZ1" t="e">
        <f>AND(#REF!,"AAAAAC/99mc=")</f>
        <v>#REF!</v>
      </c>
      <c r="DA1" t="e">
        <f>AND(#REF!,"AAAAAC/99mg=")</f>
        <v>#REF!</v>
      </c>
      <c r="DB1" t="e">
        <f>AND(#REF!,"AAAAAC/99mk=")</f>
        <v>#REF!</v>
      </c>
      <c r="DC1" t="e">
        <f>AND(#REF!,"AAAAAC/99mo=")</f>
        <v>#REF!</v>
      </c>
      <c r="DD1" t="e">
        <f>AND(#REF!,"AAAAAC/99ms=")</f>
        <v>#REF!</v>
      </c>
      <c r="DE1" t="e">
        <f>AND(#REF!,"AAAAAC/99mw=")</f>
        <v>#REF!</v>
      </c>
      <c r="DF1" t="e">
        <f>AND(#REF!,"AAAAAC/99m0=")</f>
        <v>#REF!</v>
      </c>
      <c r="DG1" t="e">
        <f>AND(#REF!,"AAAAAC/99m4=")</f>
        <v>#REF!</v>
      </c>
      <c r="DH1" t="e">
        <f>AND(#REF!,"AAAAAC/99m8=")</f>
        <v>#REF!</v>
      </c>
      <c r="DI1" t="e">
        <f>AND(#REF!,"AAAAAC/99nA=")</f>
        <v>#REF!</v>
      </c>
      <c r="DJ1" t="e">
        <f>AND(#REF!,"AAAAAC/99nE=")</f>
        <v>#REF!</v>
      </c>
      <c r="DK1" t="e">
        <f>AND(#REF!,"AAAAAC/99nI=")</f>
        <v>#REF!</v>
      </c>
      <c r="DL1" t="e">
        <f>AND(#REF!,"AAAAAC/99nM=")</f>
        <v>#REF!</v>
      </c>
      <c r="DM1" t="e">
        <f>AND(#REF!,"AAAAAC/99nQ=")</f>
        <v>#REF!</v>
      </c>
      <c r="DN1" t="e">
        <f>AND(#REF!,"AAAAAC/99nU=")</f>
        <v>#REF!</v>
      </c>
      <c r="DO1" t="e">
        <f>AND(#REF!,"AAAAAC/99nY=")</f>
        <v>#REF!</v>
      </c>
      <c r="DP1" t="e">
        <f>IF(#REF!,"AAAAAC/99nc=",0)</f>
        <v>#REF!</v>
      </c>
      <c r="DQ1" t="e">
        <f>AND(#REF!,"AAAAAC/99ng=")</f>
        <v>#REF!</v>
      </c>
      <c r="DR1" t="e">
        <f>AND(#REF!,"AAAAAC/99nk=")</f>
        <v>#REF!</v>
      </c>
      <c r="DS1" t="e">
        <f>AND(#REF!,"AAAAAC/99no=")</f>
        <v>#REF!</v>
      </c>
      <c r="DT1" t="e">
        <f>AND(#REF!,"AAAAAC/99ns=")</f>
        <v>#REF!</v>
      </c>
      <c r="DU1" t="e">
        <f>AND(#REF!,"AAAAAC/99nw=")</f>
        <v>#REF!</v>
      </c>
      <c r="DV1" t="e">
        <f>AND(#REF!,"AAAAAC/99n0=")</f>
        <v>#REF!</v>
      </c>
      <c r="DW1" t="e">
        <f>AND(#REF!,"AAAAAC/99n4=")</f>
        <v>#REF!</v>
      </c>
      <c r="DX1" t="e">
        <f>AND(#REF!,"AAAAAC/99n8=")</f>
        <v>#REF!</v>
      </c>
      <c r="DY1" t="e">
        <f>AND(#REF!,"AAAAAC/99oA=")</f>
        <v>#REF!</v>
      </c>
      <c r="DZ1" t="e">
        <f>AND(#REF!,"AAAAAC/99oE=")</f>
        <v>#REF!</v>
      </c>
      <c r="EA1" t="e">
        <f>AND(#REF!,"AAAAAC/99oI=")</f>
        <v>#REF!</v>
      </c>
      <c r="EB1" t="e">
        <f>AND(#REF!,"AAAAAC/99oM=")</f>
        <v>#REF!</v>
      </c>
      <c r="EC1" t="e">
        <f>AND(#REF!,"AAAAAC/99oQ=")</f>
        <v>#REF!</v>
      </c>
      <c r="ED1" t="e">
        <f>AND(#REF!,"AAAAAC/99oU=")</f>
        <v>#REF!</v>
      </c>
      <c r="EE1" t="e">
        <f>AND(#REF!,"AAAAAC/99oY=")</f>
        <v>#REF!</v>
      </c>
      <c r="EF1" t="e">
        <f>AND(#REF!,"AAAAAC/99oc=")</f>
        <v>#REF!</v>
      </c>
      <c r="EG1" t="e">
        <f>IF(#REF!,"AAAAAC/99og=",0)</f>
        <v>#REF!</v>
      </c>
      <c r="EH1" t="e">
        <f>AND(#REF!,"AAAAAC/99ok=")</f>
        <v>#REF!</v>
      </c>
      <c r="EI1" t="e">
        <f>AND(#REF!,"AAAAAC/99oo=")</f>
        <v>#REF!</v>
      </c>
      <c r="EJ1" t="e">
        <f>AND(#REF!,"AAAAAC/99os=")</f>
        <v>#REF!</v>
      </c>
      <c r="EK1" t="e">
        <f>AND(#REF!,"AAAAAC/99ow=")</f>
        <v>#REF!</v>
      </c>
      <c r="EL1" t="e">
        <f>AND(#REF!,"AAAAAC/99o0=")</f>
        <v>#REF!</v>
      </c>
      <c r="EM1" t="e">
        <f>AND(#REF!,"AAAAAC/99o4=")</f>
        <v>#REF!</v>
      </c>
      <c r="EN1" t="e">
        <f>AND(#REF!,"AAAAAC/99o8=")</f>
        <v>#REF!</v>
      </c>
      <c r="EO1" t="e">
        <f>AND(#REF!,"AAAAAC/99pA=")</f>
        <v>#REF!</v>
      </c>
      <c r="EP1" t="e">
        <f>AND(#REF!,"AAAAAC/99pE=")</f>
        <v>#REF!</v>
      </c>
      <c r="EQ1" t="e">
        <f>AND(#REF!,"AAAAAC/99pI=")</f>
        <v>#REF!</v>
      </c>
      <c r="ER1" t="e">
        <f>AND(#REF!,"AAAAAC/99pM=")</f>
        <v>#REF!</v>
      </c>
      <c r="ES1" t="e">
        <f>AND(#REF!,"AAAAAC/99pQ=")</f>
        <v>#REF!</v>
      </c>
      <c r="ET1" t="e">
        <f>AND(#REF!,"AAAAAC/99pU=")</f>
        <v>#REF!</v>
      </c>
      <c r="EU1" t="e">
        <f>AND(#REF!,"AAAAAC/99pY=")</f>
        <v>#REF!</v>
      </c>
      <c r="EV1" t="e">
        <f>AND(#REF!,"AAAAAC/99pc=")</f>
        <v>#REF!</v>
      </c>
      <c r="EW1" t="e">
        <f>AND(#REF!,"AAAAAC/99pg=")</f>
        <v>#REF!</v>
      </c>
      <c r="EX1" t="e">
        <f>IF(#REF!,"AAAAAC/99pk=",0)</f>
        <v>#REF!</v>
      </c>
      <c r="EY1" t="e">
        <f>AND(#REF!,"AAAAAC/99po=")</f>
        <v>#REF!</v>
      </c>
      <c r="EZ1" t="e">
        <f>AND(#REF!,"AAAAAC/99ps=")</f>
        <v>#REF!</v>
      </c>
      <c r="FA1" t="e">
        <f>AND(#REF!,"AAAAAC/99pw=")</f>
        <v>#REF!</v>
      </c>
      <c r="FB1" t="e">
        <f>AND(#REF!,"AAAAAC/99p0=")</f>
        <v>#REF!</v>
      </c>
      <c r="FC1" t="e">
        <f>AND(#REF!,"AAAAAC/99p4=")</f>
        <v>#REF!</v>
      </c>
      <c r="FD1" t="e">
        <f>AND(#REF!,"AAAAAC/99p8=")</f>
        <v>#REF!</v>
      </c>
      <c r="FE1" t="e">
        <f>AND(#REF!,"AAAAAC/99qA=")</f>
        <v>#REF!</v>
      </c>
      <c r="FF1" t="e">
        <f>AND(#REF!,"AAAAAC/99qE=")</f>
        <v>#REF!</v>
      </c>
      <c r="FG1" t="e">
        <f>AND(#REF!,"AAAAAC/99qI=")</f>
        <v>#REF!</v>
      </c>
      <c r="FH1" t="e">
        <f>AND(#REF!,"AAAAAC/99qM=")</f>
        <v>#REF!</v>
      </c>
      <c r="FI1" t="e">
        <f>AND(#REF!,"AAAAAC/99qQ=")</f>
        <v>#REF!</v>
      </c>
      <c r="FJ1" t="e">
        <f>AND(#REF!,"AAAAAC/99qU=")</f>
        <v>#REF!</v>
      </c>
      <c r="FK1" t="e">
        <f>AND(#REF!,"AAAAAC/99qY=")</f>
        <v>#REF!</v>
      </c>
      <c r="FL1" t="e">
        <f>AND(#REF!,"AAAAAC/99qc=")</f>
        <v>#REF!</v>
      </c>
      <c r="FM1" t="e">
        <f>AND(#REF!,"AAAAAC/99qg=")</f>
        <v>#REF!</v>
      </c>
      <c r="FN1" t="e">
        <f>AND(#REF!,"AAAAAC/99qk=")</f>
        <v>#REF!</v>
      </c>
      <c r="FO1" t="e">
        <f>IF(#REF!,"AAAAAC/99qo=",0)</f>
        <v>#REF!</v>
      </c>
      <c r="FP1" t="e">
        <f>AND(#REF!,"AAAAAC/99qs=")</f>
        <v>#REF!</v>
      </c>
      <c r="FQ1" t="e">
        <f>AND(#REF!,"AAAAAC/99qw=")</f>
        <v>#REF!</v>
      </c>
      <c r="FR1" t="e">
        <f>AND(#REF!,"AAAAAC/99q0=")</f>
        <v>#REF!</v>
      </c>
      <c r="FS1" t="e">
        <f>AND(#REF!,"AAAAAC/99q4=")</f>
        <v>#REF!</v>
      </c>
      <c r="FT1" t="e">
        <f>AND(#REF!,"AAAAAC/99q8=")</f>
        <v>#REF!</v>
      </c>
      <c r="FU1" t="e">
        <f>AND(#REF!,"AAAAAC/99rA=")</f>
        <v>#REF!</v>
      </c>
      <c r="FV1" t="e">
        <f>AND(#REF!,"AAAAAC/99rE=")</f>
        <v>#REF!</v>
      </c>
      <c r="FW1" t="e">
        <f>AND(#REF!,"AAAAAC/99rI=")</f>
        <v>#REF!</v>
      </c>
      <c r="FX1" t="e">
        <f>AND(#REF!,"AAAAAC/99rM=")</f>
        <v>#REF!</v>
      </c>
      <c r="FY1" t="e">
        <f>AND(#REF!,"AAAAAC/99rQ=")</f>
        <v>#REF!</v>
      </c>
      <c r="FZ1" t="e">
        <f>AND(#REF!,"AAAAAC/99rU=")</f>
        <v>#REF!</v>
      </c>
      <c r="GA1" t="e">
        <f>AND(#REF!,"AAAAAC/99rY=")</f>
        <v>#REF!</v>
      </c>
      <c r="GB1" t="e">
        <f>AND(#REF!,"AAAAAC/99rc=")</f>
        <v>#REF!</v>
      </c>
      <c r="GC1" t="e">
        <f>AND(#REF!,"AAAAAC/99rg=")</f>
        <v>#REF!</v>
      </c>
      <c r="GD1" t="e">
        <f>AND(#REF!,"AAAAAC/99rk=")</f>
        <v>#REF!</v>
      </c>
      <c r="GE1" t="e">
        <f>AND(#REF!,"AAAAAC/99ro=")</f>
        <v>#REF!</v>
      </c>
      <c r="GF1" t="e">
        <f>IF(#REF!,"AAAAAC/99rs=",0)</f>
        <v>#REF!</v>
      </c>
      <c r="GG1" t="e">
        <f>AND(#REF!,"AAAAAC/99rw=")</f>
        <v>#REF!</v>
      </c>
      <c r="GH1" t="e">
        <f>AND(#REF!,"AAAAAC/99r0=")</f>
        <v>#REF!</v>
      </c>
      <c r="GI1" t="e">
        <f>AND(#REF!,"AAAAAC/99r4=")</f>
        <v>#REF!</v>
      </c>
      <c r="GJ1" t="e">
        <f>AND(#REF!,"AAAAAC/99r8=")</f>
        <v>#REF!</v>
      </c>
      <c r="GK1" t="e">
        <f>AND(#REF!,"AAAAAC/99sA=")</f>
        <v>#REF!</v>
      </c>
      <c r="GL1" t="e">
        <f>AND(#REF!,"AAAAAC/99sE=")</f>
        <v>#REF!</v>
      </c>
      <c r="GM1" t="e">
        <f>AND(#REF!,"AAAAAC/99sI=")</f>
        <v>#REF!</v>
      </c>
      <c r="GN1" t="e">
        <f>AND(#REF!,"AAAAAC/99sM=")</f>
        <v>#REF!</v>
      </c>
      <c r="GO1" t="e">
        <f>AND(#REF!,"AAAAAC/99sQ=")</f>
        <v>#REF!</v>
      </c>
      <c r="GP1" t="e">
        <f>AND(#REF!,"AAAAAC/99sU=")</f>
        <v>#REF!</v>
      </c>
      <c r="GQ1" t="e">
        <f>AND(#REF!,"AAAAAC/99sY=")</f>
        <v>#REF!</v>
      </c>
      <c r="GR1" t="e">
        <f>AND(#REF!,"AAAAAC/99sc=")</f>
        <v>#REF!</v>
      </c>
      <c r="GS1" t="e">
        <f>AND(#REF!,"AAAAAC/99sg=")</f>
        <v>#REF!</v>
      </c>
      <c r="GT1" t="e">
        <f>IF(#REF!,"AAAAAC/99sk=",0)</f>
        <v>#REF!</v>
      </c>
      <c r="GU1" t="e">
        <f>AND(#REF!,"AAAAAC/99so=")</f>
        <v>#REF!</v>
      </c>
      <c r="GV1" t="e">
        <f>AND(#REF!,"AAAAAC/99ss=")</f>
        <v>#REF!</v>
      </c>
      <c r="GW1" t="e">
        <f>AND(#REF!,"AAAAAC/99sw=")</f>
        <v>#REF!</v>
      </c>
      <c r="GX1" t="e">
        <f>AND(#REF!,"AAAAAC/99s0=")</f>
        <v>#REF!</v>
      </c>
      <c r="GY1" t="e">
        <f>AND(#REF!,"AAAAAC/99s4=")</f>
        <v>#REF!</v>
      </c>
      <c r="GZ1" t="e">
        <f>AND(#REF!,"AAAAAC/99s8=")</f>
        <v>#REF!</v>
      </c>
      <c r="HA1" t="e">
        <f>AND(#REF!,"AAAAAC/99tA=")</f>
        <v>#REF!</v>
      </c>
      <c r="HB1" t="e">
        <f>AND(#REF!,"AAAAAC/99tE=")</f>
        <v>#REF!</v>
      </c>
      <c r="HC1" t="e">
        <f>AND(#REF!,"AAAAAC/99tI=")</f>
        <v>#REF!</v>
      </c>
      <c r="HD1" t="e">
        <f>AND(#REF!,"AAAAAC/99tM=")</f>
        <v>#REF!</v>
      </c>
      <c r="HE1" t="e">
        <f>AND(#REF!,"AAAAAC/99tQ=")</f>
        <v>#REF!</v>
      </c>
      <c r="HF1" t="e">
        <f>AND(#REF!,"AAAAAC/99tU=")</f>
        <v>#REF!</v>
      </c>
      <c r="HG1" t="e">
        <f>AND(#REF!,"AAAAAC/99tY=")</f>
        <v>#REF!</v>
      </c>
      <c r="HH1" t="e">
        <f>IF(#REF!,"AAAAAC/99tc=",0)</f>
        <v>#REF!</v>
      </c>
      <c r="HI1" t="e">
        <f>AND(#REF!,"AAAAAC/99tg=")</f>
        <v>#REF!</v>
      </c>
      <c r="HJ1" t="e">
        <f>AND(#REF!,"AAAAAC/99tk=")</f>
        <v>#REF!</v>
      </c>
      <c r="HK1" t="e">
        <f>AND(#REF!,"AAAAAC/99to=")</f>
        <v>#REF!</v>
      </c>
      <c r="HL1" t="e">
        <f>AND(#REF!,"AAAAAC/99ts=")</f>
        <v>#REF!</v>
      </c>
      <c r="HM1" t="e">
        <f>AND(#REF!,"AAAAAC/99tw=")</f>
        <v>#REF!</v>
      </c>
      <c r="HN1" t="e">
        <f>AND(#REF!,"AAAAAC/99t0=")</f>
        <v>#REF!</v>
      </c>
      <c r="HO1" t="e">
        <f>AND(#REF!,"AAAAAC/99t4=")</f>
        <v>#REF!</v>
      </c>
      <c r="HP1" t="e">
        <f>AND(#REF!,"AAAAAC/99t8=")</f>
        <v>#REF!</v>
      </c>
      <c r="HQ1" t="e">
        <f>AND(#REF!,"AAAAAC/99uA=")</f>
        <v>#REF!</v>
      </c>
      <c r="HR1" t="e">
        <f>AND(#REF!,"AAAAAC/99uE=")</f>
        <v>#REF!</v>
      </c>
      <c r="HS1" t="e">
        <f>AND(#REF!,"AAAAAC/99uI=")</f>
        <v>#REF!</v>
      </c>
      <c r="HT1" t="e">
        <f>AND(#REF!,"AAAAAC/99uM=")</f>
        <v>#REF!</v>
      </c>
      <c r="HU1" t="e">
        <f>AND(#REF!,"AAAAAC/99uQ=")</f>
        <v>#REF!</v>
      </c>
      <c r="HV1" t="e">
        <f>IF(#REF!,"AAAAAC/99uU=",0)</f>
        <v>#REF!</v>
      </c>
      <c r="HW1" t="e">
        <f>AND(#REF!,"AAAAAC/99uY=")</f>
        <v>#REF!</v>
      </c>
      <c r="HX1" t="e">
        <f>AND(#REF!,"AAAAAC/99uc=")</f>
        <v>#REF!</v>
      </c>
      <c r="HY1" t="e">
        <f>AND(#REF!,"AAAAAC/99ug=")</f>
        <v>#REF!</v>
      </c>
      <c r="HZ1" t="e">
        <f>AND(#REF!,"AAAAAC/99uk=")</f>
        <v>#REF!</v>
      </c>
      <c r="IA1" t="e">
        <f>AND(#REF!,"AAAAAC/99uo=")</f>
        <v>#REF!</v>
      </c>
      <c r="IB1" t="e">
        <f>AND(#REF!,"AAAAAC/99us=")</f>
        <v>#REF!</v>
      </c>
      <c r="IC1" t="e">
        <f>AND(#REF!,"AAAAAC/99uw=")</f>
        <v>#REF!</v>
      </c>
      <c r="ID1" t="e">
        <f>AND(#REF!,"AAAAAC/99u0=")</f>
        <v>#REF!</v>
      </c>
      <c r="IE1" t="e">
        <f>AND(#REF!,"AAAAAC/99u4=")</f>
        <v>#REF!</v>
      </c>
      <c r="IF1" t="e">
        <f>AND(#REF!,"AAAAAC/99u8=")</f>
        <v>#REF!</v>
      </c>
      <c r="IG1" t="e">
        <f>AND(#REF!,"AAAAAC/99vA=")</f>
        <v>#REF!</v>
      </c>
      <c r="IH1" t="e">
        <f>AND(#REF!,"AAAAAC/99vE=")</f>
        <v>#REF!</v>
      </c>
      <c r="II1" t="e">
        <f>AND(#REF!,"AAAAAC/99vI=")</f>
        <v>#REF!</v>
      </c>
      <c r="IJ1" t="e">
        <f>IF(#REF!,"AAAAAC/99vM=",0)</f>
        <v>#REF!</v>
      </c>
      <c r="IK1" t="e">
        <f>AND(#REF!,"AAAAAC/99vQ=")</f>
        <v>#REF!</v>
      </c>
      <c r="IL1" t="e">
        <f>AND(#REF!,"AAAAAC/99vU=")</f>
        <v>#REF!</v>
      </c>
      <c r="IM1" t="e">
        <f>AND(#REF!,"AAAAAC/99vY=")</f>
        <v>#REF!</v>
      </c>
      <c r="IN1" t="e">
        <f>AND(#REF!,"AAAAAC/99vc=")</f>
        <v>#REF!</v>
      </c>
      <c r="IO1" t="e">
        <f>AND(#REF!,"AAAAAC/99vg=")</f>
        <v>#REF!</v>
      </c>
      <c r="IP1" t="e">
        <f>AND(#REF!,"AAAAAC/99vk=")</f>
        <v>#REF!</v>
      </c>
      <c r="IQ1" t="e">
        <f>AND(#REF!,"AAAAAC/99vo=")</f>
        <v>#REF!</v>
      </c>
      <c r="IR1" t="e">
        <f>AND(#REF!,"AAAAAC/99vs=")</f>
        <v>#REF!</v>
      </c>
      <c r="IS1" t="e">
        <f>AND(#REF!,"AAAAAC/99vw=")</f>
        <v>#REF!</v>
      </c>
      <c r="IT1" t="e">
        <f>AND(#REF!,"AAAAAC/99v0=")</f>
        <v>#REF!</v>
      </c>
      <c r="IU1" t="e">
        <f>AND(#REF!,"AAAAAC/99v4=")</f>
        <v>#REF!</v>
      </c>
      <c r="IV1" t="e">
        <f>AND(#REF!,"AAAAAC/99v8=")</f>
        <v>#REF!</v>
      </c>
    </row>
    <row r="2" spans="1:256" x14ac:dyDescent="0.2">
      <c r="A2" t="e">
        <f>AND(#REF!,"AAAAAE+7XQA=")</f>
        <v>#REF!</v>
      </c>
      <c r="B2" t="e">
        <f>IF(#REF!,"AAAAAE+7XQE=",0)</f>
        <v>#REF!</v>
      </c>
      <c r="C2" t="e">
        <f>AND(#REF!,"AAAAAE+7XQI=")</f>
        <v>#REF!</v>
      </c>
      <c r="D2" t="e">
        <f>AND(#REF!,"AAAAAE+7XQM=")</f>
        <v>#REF!</v>
      </c>
      <c r="E2" t="e">
        <f>AND(#REF!,"AAAAAE+7XQQ=")</f>
        <v>#REF!</v>
      </c>
      <c r="F2" t="e">
        <f>AND(#REF!,"AAAAAE+7XQU=")</f>
        <v>#REF!</v>
      </c>
      <c r="G2" t="e">
        <f>AND(#REF!,"AAAAAE+7XQY=")</f>
        <v>#REF!</v>
      </c>
      <c r="H2" t="e">
        <f>AND(#REF!,"AAAAAE+7XQc=")</f>
        <v>#REF!</v>
      </c>
      <c r="I2" t="e">
        <f>AND(#REF!,"AAAAAE+7XQg=")</f>
        <v>#REF!</v>
      </c>
      <c r="J2" t="e">
        <f>AND(#REF!,"AAAAAE+7XQk=")</f>
        <v>#REF!</v>
      </c>
      <c r="K2" t="e">
        <f>AND(#REF!,"AAAAAE+7XQo=")</f>
        <v>#REF!</v>
      </c>
      <c r="L2" t="e">
        <f>AND(#REF!,"AAAAAE+7XQs=")</f>
        <v>#REF!</v>
      </c>
      <c r="M2" t="e">
        <f>AND(#REF!,"AAAAAE+7XQw=")</f>
        <v>#REF!</v>
      </c>
      <c r="N2" t="e">
        <f>AND(#REF!,"AAAAAE+7XQ0=")</f>
        <v>#REF!</v>
      </c>
      <c r="O2" t="e">
        <f>AND(#REF!,"AAAAAE+7XQ4=")</f>
        <v>#REF!</v>
      </c>
      <c r="P2" t="e">
        <f>IF(#REF!,"AAAAAE+7XQ8=",0)</f>
        <v>#REF!</v>
      </c>
      <c r="Q2" t="e">
        <f>AND(#REF!,"AAAAAE+7XRA=")</f>
        <v>#REF!</v>
      </c>
      <c r="R2" t="e">
        <f>AND(#REF!,"AAAAAE+7XRE=")</f>
        <v>#REF!</v>
      </c>
      <c r="S2" t="e">
        <f>AND(#REF!,"AAAAAE+7XRI=")</f>
        <v>#REF!</v>
      </c>
      <c r="T2" t="e">
        <f>AND(#REF!,"AAAAAE+7XRM=")</f>
        <v>#REF!</v>
      </c>
      <c r="U2" t="e">
        <f>AND(#REF!,"AAAAAE+7XRQ=")</f>
        <v>#REF!</v>
      </c>
      <c r="V2" t="e">
        <f>AND(#REF!,"AAAAAE+7XRU=")</f>
        <v>#REF!</v>
      </c>
      <c r="W2" t="e">
        <f>AND(#REF!,"AAAAAE+7XRY=")</f>
        <v>#REF!</v>
      </c>
      <c r="X2" t="e">
        <f>AND(#REF!,"AAAAAE+7XRc=")</f>
        <v>#REF!</v>
      </c>
      <c r="Y2" t="e">
        <f>AND(#REF!,"AAAAAE+7XRg=")</f>
        <v>#REF!</v>
      </c>
      <c r="Z2" t="e">
        <f>AND(#REF!,"AAAAAE+7XRk=")</f>
        <v>#REF!</v>
      </c>
      <c r="AA2" t="e">
        <f>AND(#REF!,"AAAAAE+7XRo=")</f>
        <v>#REF!</v>
      </c>
      <c r="AB2" t="e">
        <f>AND(#REF!,"AAAAAE+7XRs=")</f>
        <v>#REF!</v>
      </c>
      <c r="AC2" t="e">
        <f>AND(#REF!,"AAAAAE+7XRw=")</f>
        <v>#REF!</v>
      </c>
      <c r="AD2" t="e">
        <f>IF(#REF!,"AAAAAE+7XR0=",0)</f>
        <v>#REF!</v>
      </c>
      <c r="AE2" t="e">
        <f>AND(#REF!,"AAAAAE+7XR4=")</f>
        <v>#REF!</v>
      </c>
      <c r="AF2" t="e">
        <f>AND(#REF!,"AAAAAE+7XR8=")</f>
        <v>#REF!</v>
      </c>
      <c r="AG2" t="e">
        <f>AND(#REF!,"AAAAAE+7XSA=")</f>
        <v>#REF!</v>
      </c>
      <c r="AH2" t="e">
        <f>AND(#REF!,"AAAAAE+7XSE=")</f>
        <v>#REF!</v>
      </c>
      <c r="AI2" t="e">
        <f>AND(#REF!,"AAAAAE+7XSI=")</f>
        <v>#REF!</v>
      </c>
      <c r="AJ2" t="e">
        <f>AND(#REF!,"AAAAAE+7XSM=")</f>
        <v>#REF!</v>
      </c>
      <c r="AK2" t="e">
        <f>AND(#REF!,"AAAAAE+7XSQ=")</f>
        <v>#REF!</v>
      </c>
      <c r="AL2" t="e">
        <f>AND(#REF!,"AAAAAE+7XSU=")</f>
        <v>#REF!</v>
      </c>
      <c r="AM2" t="e">
        <f>AND(#REF!,"AAAAAE+7XSY=")</f>
        <v>#REF!</v>
      </c>
      <c r="AN2" t="e">
        <f>AND(#REF!,"AAAAAE+7XSc=")</f>
        <v>#REF!</v>
      </c>
      <c r="AO2" t="e">
        <f>AND(#REF!,"AAAAAE+7XSg=")</f>
        <v>#REF!</v>
      </c>
      <c r="AP2" t="e">
        <f>AND(#REF!,"AAAAAE+7XSk=")</f>
        <v>#REF!</v>
      </c>
      <c r="AQ2" t="e">
        <f>AND(#REF!,"AAAAAE+7XSo=")</f>
        <v>#REF!</v>
      </c>
      <c r="AR2" t="e">
        <f>IF(#REF!,"AAAAAE+7XSs=",0)</f>
        <v>#REF!</v>
      </c>
      <c r="AS2" t="e">
        <f>AND(#REF!,"AAAAAE+7XSw=")</f>
        <v>#REF!</v>
      </c>
      <c r="AT2" t="e">
        <f>AND(#REF!,"AAAAAE+7XS0=")</f>
        <v>#REF!</v>
      </c>
      <c r="AU2" t="e">
        <f>AND(#REF!,"AAAAAE+7XS4=")</f>
        <v>#REF!</v>
      </c>
      <c r="AV2" t="e">
        <f>AND(#REF!,"AAAAAE+7XS8=")</f>
        <v>#REF!</v>
      </c>
      <c r="AW2" t="e">
        <f>AND(#REF!,"AAAAAE+7XTA=")</f>
        <v>#REF!</v>
      </c>
      <c r="AX2" t="e">
        <f>AND(#REF!,"AAAAAE+7XTE=")</f>
        <v>#REF!</v>
      </c>
      <c r="AY2" t="e">
        <f>AND(#REF!,"AAAAAE+7XTI=")</f>
        <v>#REF!</v>
      </c>
      <c r="AZ2" t="e">
        <f>AND(#REF!,"AAAAAE+7XTM=")</f>
        <v>#REF!</v>
      </c>
      <c r="BA2" t="e">
        <f>AND(#REF!,"AAAAAE+7XTQ=")</f>
        <v>#REF!</v>
      </c>
      <c r="BB2" t="e">
        <f>AND(#REF!,"AAAAAE+7XTU=")</f>
        <v>#REF!</v>
      </c>
      <c r="BC2" t="e">
        <f>AND(#REF!,"AAAAAE+7XTY=")</f>
        <v>#REF!</v>
      </c>
      <c r="BD2" t="e">
        <f>AND(#REF!,"AAAAAE+7XTc=")</f>
        <v>#REF!</v>
      </c>
      <c r="BE2" t="e">
        <f>AND(#REF!,"AAAAAE+7XTg=")</f>
        <v>#REF!</v>
      </c>
      <c r="BF2" t="e">
        <f>IF(#REF!,"AAAAAE+7XTk=",0)</f>
        <v>#REF!</v>
      </c>
      <c r="BG2" t="e">
        <f>AND(#REF!,"AAAAAE+7XTo=")</f>
        <v>#REF!</v>
      </c>
      <c r="BH2" t="e">
        <f>AND(#REF!,"AAAAAE+7XTs=")</f>
        <v>#REF!</v>
      </c>
      <c r="BI2" t="e">
        <f>AND(#REF!,"AAAAAE+7XTw=")</f>
        <v>#REF!</v>
      </c>
      <c r="BJ2" t="e">
        <f>AND(#REF!,"AAAAAE+7XT0=")</f>
        <v>#REF!</v>
      </c>
      <c r="BK2" t="e">
        <f>AND(#REF!,"AAAAAE+7XT4=")</f>
        <v>#REF!</v>
      </c>
      <c r="BL2" t="e">
        <f>AND(#REF!,"AAAAAE+7XT8=")</f>
        <v>#REF!</v>
      </c>
      <c r="BM2" t="e">
        <f>AND(#REF!,"AAAAAE+7XUA=")</f>
        <v>#REF!</v>
      </c>
      <c r="BN2" t="e">
        <f>AND(#REF!,"AAAAAE+7XUE=")</f>
        <v>#REF!</v>
      </c>
      <c r="BO2" t="e">
        <f>AND(#REF!,"AAAAAE+7XUI=")</f>
        <v>#REF!</v>
      </c>
      <c r="BP2" t="e">
        <f>AND(#REF!,"AAAAAE+7XUM=")</f>
        <v>#REF!</v>
      </c>
      <c r="BQ2" t="e">
        <f>AND(#REF!,"AAAAAE+7XUQ=")</f>
        <v>#REF!</v>
      </c>
      <c r="BR2" t="e">
        <f>AND(#REF!,"AAAAAE+7XUU=")</f>
        <v>#REF!</v>
      </c>
      <c r="BS2" t="e">
        <f>AND(#REF!,"AAAAAE+7XUY=")</f>
        <v>#REF!</v>
      </c>
      <c r="BT2" t="e">
        <f>IF(#REF!,"AAAAAE+7XUc=",0)</f>
        <v>#REF!</v>
      </c>
      <c r="BU2" t="e">
        <f>AND(#REF!,"AAAAAE+7XUg=")</f>
        <v>#REF!</v>
      </c>
      <c r="BV2" t="e">
        <f>AND(#REF!,"AAAAAE+7XUk=")</f>
        <v>#REF!</v>
      </c>
      <c r="BW2" t="e">
        <f>AND(#REF!,"AAAAAE+7XUo=")</f>
        <v>#REF!</v>
      </c>
      <c r="BX2" t="e">
        <f>AND(#REF!,"AAAAAE+7XUs=")</f>
        <v>#REF!</v>
      </c>
      <c r="BY2" t="e">
        <f>AND(#REF!,"AAAAAE+7XUw=")</f>
        <v>#REF!</v>
      </c>
      <c r="BZ2" t="e">
        <f>AND(#REF!,"AAAAAE+7XU0=")</f>
        <v>#REF!</v>
      </c>
      <c r="CA2" t="e">
        <f>AND(#REF!,"AAAAAE+7XU4=")</f>
        <v>#REF!</v>
      </c>
      <c r="CB2" t="e">
        <f>AND(#REF!,"AAAAAE+7XU8=")</f>
        <v>#REF!</v>
      </c>
      <c r="CC2" t="e">
        <f>AND(#REF!,"AAAAAE+7XVA=")</f>
        <v>#REF!</v>
      </c>
      <c r="CD2" t="e">
        <f>AND(#REF!,"AAAAAE+7XVE=")</f>
        <v>#REF!</v>
      </c>
      <c r="CE2" t="e">
        <f>AND(#REF!,"AAAAAE+7XVI=")</f>
        <v>#REF!</v>
      </c>
      <c r="CF2" t="e">
        <f>AND(#REF!,"AAAAAE+7XVM=")</f>
        <v>#REF!</v>
      </c>
      <c r="CG2" t="e">
        <f>AND(#REF!,"AAAAAE+7XVQ=")</f>
        <v>#REF!</v>
      </c>
      <c r="CH2" t="e">
        <f>IF(#REF!,"AAAAAE+7XVU=",0)</f>
        <v>#REF!</v>
      </c>
      <c r="CI2" t="e">
        <f>AND(#REF!,"AAAAAE+7XVY=")</f>
        <v>#REF!</v>
      </c>
      <c r="CJ2" t="e">
        <f>AND(#REF!,"AAAAAE+7XVc=")</f>
        <v>#REF!</v>
      </c>
      <c r="CK2" t="e">
        <f>AND(#REF!,"AAAAAE+7XVg=")</f>
        <v>#REF!</v>
      </c>
      <c r="CL2" t="e">
        <f>AND(#REF!,"AAAAAE+7XVk=")</f>
        <v>#REF!</v>
      </c>
      <c r="CM2" t="e">
        <f>AND(#REF!,"AAAAAE+7XVo=")</f>
        <v>#REF!</v>
      </c>
      <c r="CN2" t="e">
        <f>AND(#REF!,"AAAAAE+7XVs=")</f>
        <v>#REF!</v>
      </c>
      <c r="CO2" t="e">
        <f>AND(#REF!,"AAAAAE+7XVw=")</f>
        <v>#REF!</v>
      </c>
      <c r="CP2" t="e">
        <f>AND(#REF!,"AAAAAE+7XV0=")</f>
        <v>#REF!</v>
      </c>
      <c r="CQ2" t="e">
        <f>AND(#REF!,"AAAAAE+7XV4=")</f>
        <v>#REF!</v>
      </c>
      <c r="CR2" t="e">
        <f>AND(#REF!,"AAAAAE+7XV8=")</f>
        <v>#REF!</v>
      </c>
      <c r="CS2" t="e">
        <f>AND(#REF!,"AAAAAE+7XWA=")</f>
        <v>#REF!</v>
      </c>
      <c r="CT2" t="e">
        <f>AND(#REF!,"AAAAAE+7XWE=")</f>
        <v>#REF!</v>
      </c>
      <c r="CU2" t="e">
        <f>AND(#REF!,"AAAAAE+7XWI=")</f>
        <v>#REF!</v>
      </c>
      <c r="CV2" t="e">
        <f>IF(#REF!,"AAAAAE+7XWM=",0)</f>
        <v>#REF!</v>
      </c>
      <c r="CW2" t="e">
        <f>AND(#REF!,"AAAAAE+7XWQ=")</f>
        <v>#REF!</v>
      </c>
      <c r="CX2" t="e">
        <f>AND(#REF!,"AAAAAE+7XWU=")</f>
        <v>#REF!</v>
      </c>
      <c r="CY2" t="e">
        <f>AND(#REF!,"AAAAAE+7XWY=")</f>
        <v>#REF!</v>
      </c>
      <c r="CZ2" t="e">
        <f>AND(#REF!,"AAAAAE+7XWc=")</f>
        <v>#REF!</v>
      </c>
      <c r="DA2" t="e">
        <f>AND(#REF!,"AAAAAE+7XWg=")</f>
        <v>#REF!</v>
      </c>
      <c r="DB2" t="e">
        <f>AND(#REF!,"AAAAAE+7XWk=")</f>
        <v>#REF!</v>
      </c>
      <c r="DC2" t="e">
        <f>AND(#REF!,"AAAAAE+7XWo=")</f>
        <v>#REF!</v>
      </c>
      <c r="DD2" t="e">
        <f>AND(#REF!,"AAAAAE+7XWs=")</f>
        <v>#REF!</v>
      </c>
      <c r="DE2" t="e">
        <f>AND(#REF!,"AAAAAE+7XWw=")</f>
        <v>#REF!</v>
      </c>
      <c r="DF2" t="e">
        <f>AND(#REF!,"AAAAAE+7XW0=")</f>
        <v>#REF!</v>
      </c>
      <c r="DG2" t="e">
        <f>AND(#REF!,"AAAAAE+7XW4=")</f>
        <v>#REF!</v>
      </c>
      <c r="DH2" t="e">
        <f>AND(#REF!,"AAAAAE+7XW8=")</f>
        <v>#REF!</v>
      </c>
      <c r="DI2" t="e">
        <f>AND(#REF!,"AAAAAE+7XXA=")</f>
        <v>#REF!</v>
      </c>
      <c r="DJ2" t="e">
        <f>IF(#REF!,"AAAAAE+7XXE=",0)</f>
        <v>#REF!</v>
      </c>
      <c r="DK2" t="e">
        <f>AND(#REF!,"AAAAAE+7XXI=")</f>
        <v>#REF!</v>
      </c>
      <c r="DL2" t="e">
        <f>AND(#REF!,"AAAAAE+7XXM=")</f>
        <v>#REF!</v>
      </c>
      <c r="DM2" t="e">
        <f>AND(#REF!,"AAAAAE+7XXQ=")</f>
        <v>#REF!</v>
      </c>
      <c r="DN2" t="e">
        <f>AND(#REF!,"AAAAAE+7XXU=")</f>
        <v>#REF!</v>
      </c>
      <c r="DO2" t="e">
        <f>AND(#REF!,"AAAAAE+7XXY=")</f>
        <v>#REF!</v>
      </c>
      <c r="DP2" t="e">
        <f>AND(#REF!,"AAAAAE+7XXc=")</f>
        <v>#REF!</v>
      </c>
      <c r="DQ2" t="e">
        <f>AND(#REF!,"AAAAAE+7XXg=")</f>
        <v>#REF!</v>
      </c>
      <c r="DR2" t="e">
        <f>AND(#REF!,"AAAAAE+7XXk=")</f>
        <v>#REF!</v>
      </c>
      <c r="DS2" t="e">
        <f>AND(#REF!,"AAAAAE+7XXo=")</f>
        <v>#REF!</v>
      </c>
      <c r="DT2" t="e">
        <f>AND(#REF!,"AAAAAE+7XXs=")</f>
        <v>#REF!</v>
      </c>
      <c r="DU2" t="e">
        <f>AND(#REF!,"AAAAAE+7XXw=")</f>
        <v>#REF!</v>
      </c>
      <c r="DV2" t="e">
        <f>AND(#REF!,"AAAAAE+7XX0=")</f>
        <v>#REF!</v>
      </c>
      <c r="DW2" t="e">
        <f>AND(#REF!,"AAAAAE+7XX4=")</f>
        <v>#REF!</v>
      </c>
      <c r="DX2" t="e">
        <f>IF(#REF!,"AAAAAE+7XX8=",0)</f>
        <v>#REF!</v>
      </c>
      <c r="DY2" t="e">
        <f>AND(#REF!,"AAAAAE+7XYA=")</f>
        <v>#REF!</v>
      </c>
      <c r="DZ2" t="e">
        <f>AND(#REF!,"AAAAAE+7XYE=")</f>
        <v>#REF!</v>
      </c>
      <c r="EA2" t="e">
        <f>AND(#REF!,"AAAAAE+7XYI=")</f>
        <v>#REF!</v>
      </c>
      <c r="EB2" t="e">
        <f>AND(#REF!,"AAAAAE+7XYM=")</f>
        <v>#REF!</v>
      </c>
      <c r="EC2" t="e">
        <f>AND(#REF!,"AAAAAE+7XYQ=")</f>
        <v>#REF!</v>
      </c>
      <c r="ED2" t="e">
        <f>AND(#REF!,"AAAAAE+7XYU=")</f>
        <v>#REF!</v>
      </c>
      <c r="EE2" t="e">
        <f>AND(#REF!,"AAAAAE+7XYY=")</f>
        <v>#REF!</v>
      </c>
      <c r="EF2" t="e">
        <f>AND(#REF!,"AAAAAE+7XYc=")</f>
        <v>#REF!</v>
      </c>
      <c r="EG2" t="e">
        <f>AND(#REF!,"AAAAAE+7XYg=")</f>
        <v>#REF!</v>
      </c>
      <c r="EH2" t="e">
        <f>AND(#REF!,"AAAAAE+7XYk=")</f>
        <v>#REF!</v>
      </c>
      <c r="EI2" t="e">
        <f>AND(#REF!,"AAAAAE+7XYo=")</f>
        <v>#REF!</v>
      </c>
      <c r="EJ2" t="e">
        <f>AND(#REF!,"AAAAAE+7XYs=")</f>
        <v>#REF!</v>
      </c>
      <c r="EK2" t="e">
        <f>AND(#REF!,"AAAAAE+7XYw=")</f>
        <v>#REF!</v>
      </c>
      <c r="EL2" t="e">
        <f>IF(#REF!,"AAAAAE+7XY0=",0)</f>
        <v>#REF!</v>
      </c>
      <c r="EM2" t="e">
        <f>AND(#REF!,"AAAAAE+7XY4=")</f>
        <v>#REF!</v>
      </c>
      <c r="EN2" t="e">
        <f>AND(#REF!,"AAAAAE+7XY8=")</f>
        <v>#REF!</v>
      </c>
      <c r="EO2" t="e">
        <f>AND(#REF!,"AAAAAE+7XZA=")</f>
        <v>#REF!</v>
      </c>
      <c r="EP2" t="e">
        <f>AND(#REF!,"AAAAAE+7XZE=")</f>
        <v>#REF!</v>
      </c>
      <c r="EQ2" t="e">
        <f>AND(#REF!,"AAAAAE+7XZI=")</f>
        <v>#REF!</v>
      </c>
      <c r="ER2" t="e">
        <f>AND(#REF!,"AAAAAE+7XZM=")</f>
        <v>#REF!</v>
      </c>
      <c r="ES2" t="e">
        <f>AND(#REF!,"AAAAAE+7XZQ=")</f>
        <v>#REF!</v>
      </c>
      <c r="ET2" t="e">
        <f>AND(#REF!,"AAAAAE+7XZU=")</f>
        <v>#REF!</v>
      </c>
      <c r="EU2" t="e">
        <f>AND(#REF!,"AAAAAE+7XZY=")</f>
        <v>#REF!</v>
      </c>
      <c r="EV2" t="e">
        <f>AND(#REF!,"AAAAAE+7XZc=")</f>
        <v>#REF!</v>
      </c>
      <c r="EW2" t="e">
        <f>AND(#REF!,"AAAAAE+7XZg=")</f>
        <v>#REF!</v>
      </c>
      <c r="EX2" t="e">
        <f>AND(#REF!,"AAAAAE+7XZk=")</f>
        <v>#REF!</v>
      </c>
      <c r="EY2" t="e">
        <f>AND(#REF!,"AAAAAE+7XZo=")</f>
        <v>#REF!</v>
      </c>
      <c r="EZ2" t="e">
        <f>IF(#REF!,"AAAAAE+7XZs=",0)</f>
        <v>#REF!</v>
      </c>
      <c r="FA2" t="e">
        <f>AND(#REF!,"AAAAAE+7XZw=")</f>
        <v>#REF!</v>
      </c>
      <c r="FB2" t="e">
        <f>AND(#REF!,"AAAAAE+7XZ0=")</f>
        <v>#REF!</v>
      </c>
      <c r="FC2" t="e">
        <f>AND(#REF!,"AAAAAE+7XZ4=")</f>
        <v>#REF!</v>
      </c>
      <c r="FD2" t="e">
        <f>AND(#REF!,"AAAAAE+7XZ8=")</f>
        <v>#REF!</v>
      </c>
      <c r="FE2" t="e">
        <f>AND(#REF!,"AAAAAE+7XaA=")</f>
        <v>#REF!</v>
      </c>
      <c r="FF2" t="e">
        <f>AND(#REF!,"AAAAAE+7XaE=")</f>
        <v>#REF!</v>
      </c>
      <c r="FG2" t="e">
        <f>AND(#REF!,"AAAAAE+7XaI=")</f>
        <v>#REF!</v>
      </c>
      <c r="FH2" t="e">
        <f>AND(#REF!,"AAAAAE+7XaM=")</f>
        <v>#REF!</v>
      </c>
      <c r="FI2" t="e">
        <f>AND(#REF!,"AAAAAE+7XaQ=")</f>
        <v>#REF!</v>
      </c>
      <c r="FJ2" t="e">
        <f>AND(#REF!,"AAAAAE+7XaU=")</f>
        <v>#REF!</v>
      </c>
      <c r="FK2" t="e">
        <f>AND(#REF!,"AAAAAE+7XaY=")</f>
        <v>#REF!</v>
      </c>
      <c r="FL2" t="e">
        <f>AND(#REF!,"AAAAAE+7Xac=")</f>
        <v>#REF!</v>
      </c>
      <c r="FM2" t="e">
        <f>AND(#REF!,"AAAAAE+7Xag=")</f>
        <v>#REF!</v>
      </c>
      <c r="FN2" t="e">
        <f>IF(#REF!,"AAAAAE+7Xak=",0)</f>
        <v>#REF!</v>
      </c>
      <c r="FO2" t="e">
        <f>AND(#REF!,"AAAAAE+7Xao=")</f>
        <v>#REF!</v>
      </c>
      <c r="FP2" t="e">
        <f>AND(#REF!,"AAAAAE+7Xas=")</f>
        <v>#REF!</v>
      </c>
      <c r="FQ2" t="e">
        <f>AND(#REF!,"AAAAAE+7Xaw=")</f>
        <v>#REF!</v>
      </c>
      <c r="FR2" t="e">
        <f>AND(#REF!,"AAAAAE+7Xa0=")</f>
        <v>#REF!</v>
      </c>
      <c r="FS2" t="e">
        <f>AND(#REF!,"AAAAAE+7Xa4=")</f>
        <v>#REF!</v>
      </c>
      <c r="FT2" t="e">
        <f>AND(#REF!,"AAAAAE+7Xa8=")</f>
        <v>#REF!</v>
      </c>
      <c r="FU2" t="e">
        <f>AND(#REF!,"AAAAAE+7XbA=")</f>
        <v>#REF!</v>
      </c>
      <c r="FV2" t="e">
        <f>AND(#REF!,"AAAAAE+7XbE=")</f>
        <v>#REF!</v>
      </c>
      <c r="FW2" t="e">
        <f>AND(#REF!,"AAAAAE+7XbI=")</f>
        <v>#REF!</v>
      </c>
      <c r="FX2" t="e">
        <f>AND(#REF!,"AAAAAE+7XbM=")</f>
        <v>#REF!</v>
      </c>
      <c r="FY2" t="e">
        <f>AND(#REF!,"AAAAAE+7XbQ=")</f>
        <v>#REF!</v>
      </c>
      <c r="FZ2" t="e">
        <f>AND(#REF!,"AAAAAE+7XbU=")</f>
        <v>#REF!</v>
      </c>
      <c r="GA2" t="e">
        <f>AND(#REF!,"AAAAAE+7XbY=")</f>
        <v>#REF!</v>
      </c>
      <c r="GB2" t="e">
        <f>IF(#REF!,"AAAAAE+7Xbc=",0)</f>
        <v>#REF!</v>
      </c>
      <c r="GC2" t="e">
        <f>AND(#REF!,"AAAAAE+7Xbg=")</f>
        <v>#REF!</v>
      </c>
      <c r="GD2" t="e">
        <f>AND(#REF!,"AAAAAE+7Xbk=")</f>
        <v>#REF!</v>
      </c>
      <c r="GE2" t="e">
        <f>AND(#REF!,"AAAAAE+7Xbo=")</f>
        <v>#REF!</v>
      </c>
      <c r="GF2" t="e">
        <f>AND(#REF!,"AAAAAE+7Xbs=")</f>
        <v>#REF!</v>
      </c>
      <c r="GG2" t="e">
        <f>AND(#REF!,"AAAAAE+7Xbw=")</f>
        <v>#REF!</v>
      </c>
      <c r="GH2" t="e">
        <f>AND(#REF!,"AAAAAE+7Xb0=")</f>
        <v>#REF!</v>
      </c>
      <c r="GI2" t="e">
        <f>AND(#REF!,"AAAAAE+7Xb4=")</f>
        <v>#REF!</v>
      </c>
      <c r="GJ2" t="e">
        <f>AND(#REF!,"AAAAAE+7Xb8=")</f>
        <v>#REF!</v>
      </c>
      <c r="GK2" t="e">
        <f>AND(#REF!,"AAAAAE+7XcA=")</f>
        <v>#REF!</v>
      </c>
      <c r="GL2" t="e">
        <f>AND(#REF!,"AAAAAE+7XcE=")</f>
        <v>#REF!</v>
      </c>
      <c r="GM2" t="e">
        <f>AND(#REF!,"AAAAAE+7XcI=")</f>
        <v>#REF!</v>
      </c>
      <c r="GN2" t="e">
        <f>AND(#REF!,"AAAAAE+7XcM=")</f>
        <v>#REF!</v>
      </c>
      <c r="GO2" t="e">
        <f>AND(#REF!,"AAAAAE+7XcQ=")</f>
        <v>#REF!</v>
      </c>
      <c r="GP2" t="e">
        <f>IF(#REF!,"AAAAAE+7XcU=",0)</f>
        <v>#REF!</v>
      </c>
      <c r="GQ2" t="e">
        <f>AND(#REF!,"AAAAAE+7XcY=")</f>
        <v>#REF!</v>
      </c>
      <c r="GR2" t="e">
        <f>AND(#REF!,"AAAAAE+7Xcc=")</f>
        <v>#REF!</v>
      </c>
      <c r="GS2" t="e">
        <f>AND(#REF!,"AAAAAE+7Xcg=")</f>
        <v>#REF!</v>
      </c>
      <c r="GT2" t="e">
        <f>AND(#REF!,"AAAAAE+7Xck=")</f>
        <v>#REF!</v>
      </c>
      <c r="GU2" t="e">
        <f>AND(#REF!,"AAAAAE+7Xco=")</f>
        <v>#REF!</v>
      </c>
      <c r="GV2" t="e">
        <f>AND(#REF!,"AAAAAE+7Xcs=")</f>
        <v>#REF!</v>
      </c>
      <c r="GW2" t="e">
        <f>AND(#REF!,"AAAAAE+7Xcw=")</f>
        <v>#REF!</v>
      </c>
      <c r="GX2" t="e">
        <f>AND(#REF!,"AAAAAE+7Xc0=")</f>
        <v>#REF!</v>
      </c>
      <c r="GY2" t="e">
        <f>AND(#REF!,"AAAAAE+7Xc4=")</f>
        <v>#REF!</v>
      </c>
      <c r="GZ2" t="e">
        <f>AND(#REF!,"AAAAAE+7Xc8=")</f>
        <v>#REF!</v>
      </c>
      <c r="HA2" t="e">
        <f>AND(#REF!,"AAAAAE+7XdA=")</f>
        <v>#REF!</v>
      </c>
      <c r="HB2" t="e">
        <f>AND(#REF!,"AAAAAE+7XdE=")</f>
        <v>#REF!</v>
      </c>
      <c r="HC2" t="e">
        <f>AND(#REF!,"AAAAAE+7XdI=")</f>
        <v>#REF!</v>
      </c>
      <c r="HD2" t="e">
        <f>IF(#REF!,"AAAAAE+7XdM=",0)</f>
        <v>#REF!</v>
      </c>
      <c r="HE2" t="e">
        <f>AND(#REF!,"AAAAAE+7XdQ=")</f>
        <v>#REF!</v>
      </c>
      <c r="HF2" t="e">
        <f>AND(#REF!,"AAAAAE+7XdU=")</f>
        <v>#REF!</v>
      </c>
      <c r="HG2" t="e">
        <f>AND(#REF!,"AAAAAE+7XdY=")</f>
        <v>#REF!</v>
      </c>
      <c r="HH2" t="e">
        <f>AND(#REF!,"AAAAAE+7Xdc=")</f>
        <v>#REF!</v>
      </c>
      <c r="HI2" t="e">
        <f>AND(#REF!,"AAAAAE+7Xdg=")</f>
        <v>#REF!</v>
      </c>
      <c r="HJ2" t="e">
        <f>AND(#REF!,"AAAAAE+7Xdk=")</f>
        <v>#REF!</v>
      </c>
      <c r="HK2" t="e">
        <f>AND(#REF!,"AAAAAE+7Xdo=")</f>
        <v>#REF!</v>
      </c>
      <c r="HL2" t="e">
        <f>AND(#REF!,"AAAAAE+7Xds=")</f>
        <v>#REF!</v>
      </c>
      <c r="HM2" t="e">
        <f>AND(#REF!,"AAAAAE+7Xdw=")</f>
        <v>#REF!</v>
      </c>
      <c r="HN2" t="e">
        <f>AND(#REF!,"AAAAAE+7Xd0=")</f>
        <v>#REF!</v>
      </c>
      <c r="HO2" t="e">
        <f>AND(#REF!,"AAAAAE+7Xd4=")</f>
        <v>#REF!</v>
      </c>
      <c r="HP2" t="e">
        <f>AND(#REF!,"AAAAAE+7Xd8=")</f>
        <v>#REF!</v>
      </c>
      <c r="HQ2" t="e">
        <f>AND(#REF!,"AAAAAE+7XeA=")</f>
        <v>#REF!</v>
      </c>
      <c r="HR2" t="e">
        <f>IF(#REF!,"AAAAAE+7XeE=",0)</f>
        <v>#REF!</v>
      </c>
      <c r="HS2" t="e">
        <f>AND(#REF!,"AAAAAE+7XeI=")</f>
        <v>#REF!</v>
      </c>
      <c r="HT2" t="e">
        <f>AND(#REF!,"AAAAAE+7XeM=")</f>
        <v>#REF!</v>
      </c>
      <c r="HU2" t="e">
        <f>AND(#REF!,"AAAAAE+7XeQ=")</f>
        <v>#REF!</v>
      </c>
      <c r="HV2" t="e">
        <f>AND(#REF!,"AAAAAE+7XeU=")</f>
        <v>#REF!</v>
      </c>
      <c r="HW2" t="e">
        <f>AND(#REF!,"AAAAAE+7XeY=")</f>
        <v>#REF!</v>
      </c>
      <c r="HX2" t="e">
        <f>AND(#REF!,"AAAAAE+7Xec=")</f>
        <v>#REF!</v>
      </c>
      <c r="HY2" t="e">
        <f>AND(#REF!,"AAAAAE+7Xeg=")</f>
        <v>#REF!</v>
      </c>
      <c r="HZ2" t="e">
        <f>AND(#REF!,"AAAAAE+7Xek=")</f>
        <v>#REF!</v>
      </c>
      <c r="IA2" t="e">
        <f>AND(#REF!,"AAAAAE+7Xeo=")</f>
        <v>#REF!</v>
      </c>
      <c r="IB2" t="e">
        <f>AND(#REF!,"AAAAAE+7Xes=")</f>
        <v>#REF!</v>
      </c>
      <c r="IC2" t="e">
        <f>AND(#REF!,"AAAAAE+7Xew=")</f>
        <v>#REF!</v>
      </c>
      <c r="ID2" t="e">
        <f>AND(#REF!,"AAAAAE+7Xe0=")</f>
        <v>#REF!</v>
      </c>
      <c r="IE2" t="e">
        <f>AND(#REF!,"AAAAAE+7Xe4=")</f>
        <v>#REF!</v>
      </c>
      <c r="IF2" t="e">
        <f>IF(#REF!,"AAAAAE+7Xe8=",0)</f>
        <v>#REF!</v>
      </c>
      <c r="IG2" t="e">
        <f>AND(#REF!,"AAAAAE+7XfA=")</f>
        <v>#REF!</v>
      </c>
      <c r="IH2" t="e">
        <f>AND(#REF!,"AAAAAE+7XfE=")</f>
        <v>#REF!</v>
      </c>
      <c r="II2" t="e">
        <f>AND(#REF!,"AAAAAE+7XfI=")</f>
        <v>#REF!</v>
      </c>
      <c r="IJ2" t="e">
        <f>AND(#REF!,"AAAAAE+7XfM=")</f>
        <v>#REF!</v>
      </c>
      <c r="IK2" t="e">
        <f>AND(#REF!,"AAAAAE+7XfQ=")</f>
        <v>#REF!</v>
      </c>
      <c r="IL2" t="e">
        <f>AND(#REF!,"AAAAAE+7XfU=")</f>
        <v>#REF!</v>
      </c>
      <c r="IM2" t="e">
        <f>AND(#REF!,"AAAAAE+7XfY=")</f>
        <v>#REF!</v>
      </c>
      <c r="IN2" t="e">
        <f>AND(#REF!,"AAAAAE+7Xfc=")</f>
        <v>#REF!</v>
      </c>
      <c r="IO2" t="e">
        <f>AND(#REF!,"AAAAAE+7Xfg=")</f>
        <v>#REF!</v>
      </c>
      <c r="IP2" t="e">
        <f>AND(#REF!,"AAAAAE+7Xfk=")</f>
        <v>#REF!</v>
      </c>
      <c r="IQ2" t="e">
        <f>AND(#REF!,"AAAAAE+7Xfo=")</f>
        <v>#REF!</v>
      </c>
      <c r="IR2" t="e">
        <f>AND(#REF!,"AAAAAE+7Xfs=")</f>
        <v>#REF!</v>
      </c>
      <c r="IS2" t="e">
        <f>AND(#REF!,"AAAAAE+7Xfw=")</f>
        <v>#REF!</v>
      </c>
      <c r="IT2" t="e">
        <f>IF(#REF!,"AAAAAE+7Xf0=",0)</f>
        <v>#REF!</v>
      </c>
      <c r="IU2" t="e">
        <f>AND(#REF!,"AAAAAE+7Xf4=")</f>
        <v>#REF!</v>
      </c>
      <c r="IV2" t="e">
        <f>AND(#REF!,"AAAAAE+7Xf8=")</f>
        <v>#REF!</v>
      </c>
    </row>
    <row r="3" spans="1:256" x14ac:dyDescent="0.2">
      <c r="A3" t="e">
        <f>AND(#REF!,"AAAAAH3X/wA=")</f>
        <v>#REF!</v>
      </c>
      <c r="B3" t="e">
        <f>AND(#REF!,"AAAAAH3X/wE=")</f>
        <v>#REF!</v>
      </c>
      <c r="C3" t="e">
        <f>AND(#REF!,"AAAAAH3X/wI=")</f>
        <v>#REF!</v>
      </c>
      <c r="D3" t="e">
        <f>AND(#REF!,"AAAAAH3X/wM=")</f>
        <v>#REF!</v>
      </c>
      <c r="E3" t="e">
        <f>AND(#REF!,"AAAAAH3X/wQ=")</f>
        <v>#REF!</v>
      </c>
      <c r="F3" t="e">
        <f>AND(#REF!,"AAAAAH3X/wU=")</f>
        <v>#REF!</v>
      </c>
      <c r="G3" t="e">
        <f>AND(#REF!,"AAAAAH3X/wY=")</f>
        <v>#REF!</v>
      </c>
      <c r="H3" t="e">
        <f>AND(#REF!,"AAAAAH3X/wc=")</f>
        <v>#REF!</v>
      </c>
      <c r="I3" t="e">
        <f>AND(#REF!,"AAAAAH3X/wg=")</f>
        <v>#REF!</v>
      </c>
      <c r="J3" t="e">
        <f>AND(#REF!,"AAAAAH3X/wk=")</f>
        <v>#REF!</v>
      </c>
      <c r="K3" t="e">
        <f>AND(#REF!,"AAAAAH3X/wo=")</f>
        <v>#REF!</v>
      </c>
      <c r="L3" t="e">
        <f>IF(#REF!,"AAAAAH3X/ws=",0)</f>
        <v>#REF!</v>
      </c>
      <c r="M3" t="e">
        <f>AND(#REF!,"AAAAAH3X/ww=")</f>
        <v>#REF!</v>
      </c>
      <c r="N3" t="e">
        <f>AND(#REF!,"AAAAAH3X/w0=")</f>
        <v>#REF!</v>
      </c>
      <c r="O3" t="e">
        <f>AND(#REF!,"AAAAAH3X/w4=")</f>
        <v>#REF!</v>
      </c>
      <c r="P3" t="e">
        <f>AND(#REF!,"AAAAAH3X/w8=")</f>
        <v>#REF!</v>
      </c>
      <c r="Q3" t="e">
        <f>AND(#REF!,"AAAAAH3X/xA=")</f>
        <v>#REF!</v>
      </c>
      <c r="R3" t="e">
        <f>AND(#REF!,"AAAAAH3X/xE=")</f>
        <v>#REF!</v>
      </c>
      <c r="S3" t="e">
        <f>AND(#REF!,"AAAAAH3X/xI=")</f>
        <v>#REF!</v>
      </c>
      <c r="T3" t="e">
        <f>AND(#REF!,"AAAAAH3X/xM=")</f>
        <v>#REF!</v>
      </c>
      <c r="U3" t="e">
        <f>AND(#REF!,"AAAAAH3X/xQ=")</f>
        <v>#REF!</v>
      </c>
      <c r="V3" t="e">
        <f>AND(#REF!,"AAAAAH3X/xU=")</f>
        <v>#REF!</v>
      </c>
      <c r="W3" t="e">
        <f>AND(#REF!,"AAAAAH3X/xY=")</f>
        <v>#REF!</v>
      </c>
      <c r="X3" t="e">
        <f>AND(#REF!,"AAAAAH3X/xc=")</f>
        <v>#REF!</v>
      </c>
      <c r="Y3" t="e">
        <f>AND(#REF!,"AAAAAH3X/xg=")</f>
        <v>#REF!</v>
      </c>
      <c r="Z3" t="e">
        <f>IF(#REF!,"AAAAAH3X/xk=",0)</f>
        <v>#REF!</v>
      </c>
      <c r="AA3" t="e">
        <f>AND(#REF!,"AAAAAH3X/xo=")</f>
        <v>#REF!</v>
      </c>
      <c r="AB3" t="e">
        <f>AND(#REF!,"AAAAAH3X/xs=")</f>
        <v>#REF!</v>
      </c>
      <c r="AC3" t="e">
        <f>AND(#REF!,"AAAAAH3X/xw=")</f>
        <v>#REF!</v>
      </c>
      <c r="AD3" t="e">
        <f>AND(#REF!,"AAAAAH3X/x0=")</f>
        <v>#REF!</v>
      </c>
      <c r="AE3" t="e">
        <f>AND(#REF!,"AAAAAH3X/x4=")</f>
        <v>#REF!</v>
      </c>
      <c r="AF3" t="e">
        <f>AND(#REF!,"AAAAAH3X/x8=")</f>
        <v>#REF!</v>
      </c>
      <c r="AG3" t="e">
        <f>AND(#REF!,"AAAAAH3X/yA=")</f>
        <v>#REF!</v>
      </c>
      <c r="AH3" t="e">
        <f>AND(#REF!,"AAAAAH3X/yE=")</f>
        <v>#REF!</v>
      </c>
      <c r="AI3" t="e">
        <f>AND(#REF!,"AAAAAH3X/yI=")</f>
        <v>#REF!</v>
      </c>
      <c r="AJ3" t="e">
        <f>AND(#REF!,"AAAAAH3X/yM=")</f>
        <v>#REF!</v>
      </c>
      <c r="AK3" t="e">
        <f>AND(#REF!,"AAAAAH3X/yQ=")</f>
        <v>#REF!</v>
      </c>
      <c r="AL3" t="e">
        <f>AND(#REF!,"AAAAAH3X/yU=")</f>
        <v>#REF!</v>
      </c>
      <c r="AM3" t="e">
        <f>AND(#REF!,"AAAAAH3X/yY=")</f>
        <v>#REF!</v>
      </c>
      <c r="AN3" t="e">
        <f>IF(#REF!,"AAAAAH3X/yc=",0)</f>
        <v>#REF!</v>
      </c>
      <c r="AO3" t="e">
        <f>AND(#REF!,"AAAAAH3X/yg=")</f>
        <v>#REF!</v>
      </c>
      <c r="AP3" t="e">
        <f>AND(#REF!,"AAAAAH3X/yk=")</f>
        <v>#REF!</v>
      </c>
      <c r="AQ3" t="e">
        <f>AND(#REF!,"AAAAAH3X/yo=")</f>
        <v>#REF!</v>
      </c>
      <c r="AR3" t="e">
        <f>AND(#REF!,"AAAAAH3X/ys=")</f>
        <v>#REF!</v>
      </c>
      <c r="AS3" t="e">
        <f>AND(#REF!,"AAAAAH3X/yw=")</f>
        <v>#REF!</v>
      </c>
      <c r="AT3" t="e">
        <f>AND(#REF!,"AAAAAH3X/y0=")</f>
        <v>#REF!</v>
      </c>
      <c r="AU3" t="e">
        <f>AND(#REF!,"AAAAAH3X/y4=")</f>
        <v>#REF!</v>
      </c>
      <c r="AV3" t="e">
        <f>AND(#REF!,"AAAAAH3X/y8=")</f>
        <v>#REF!</v>
      </c>
      <c r="AW3" t="e">
        <f>AND(#REF!,"AAAAAH3X/zA=")</f>
        <v>#REF!</v>
      </c>
      <c r="AX3" t="e">
        <f>AND(#REF!,"AAAAAH3X/zE=")</f>
        <v>#REF!</v>
      </c>
      <c r="AY3" t="e">
        <f>AND(#REF!,"AAAAAH3X/zI=")</f>
        <v>#REF!</v>
      </c>
      <c r="AZ3" t="e">
        <f>AND(#REF!,"AAAAAH3X/zM=")</f>
        <v>#REF!</v>
      </c>
      <c r="BA3" t="e">
        <f>AND(#REF!,"AAAAAH3X/zQ=")</f>
        <v>#REF!</v>
      </c>
      <c r="BB3" t="e">
        <f>IF(#REF!,"AAAAAH3X/zU=",0)</f>
        <v>#REF!</v>
      </c>
      <c r="BC3" t="e">
        <f>AND(#REF!,"AAAAAH3X/zY=")</f>
        <v>#REF!</v>
      </c>
      <c r="BD3" t="e">
        <f>AND(#REF!,"AAAAAH3X/zc=")</f>
        <v>#REF!</v>
      </c>
      <c r="BE3" t="e">
        <f>AND(#REF!,"AAAAAH3X/zg=")</f>
        <v>#REF!</v>
      </c>
      <c r="BF3" t="e">
        <f>AND(#REF!,"AAAAAH3X/zk=")</f>
        <v>#REF!</v>
      </c>
      <c r="BG3" t="e">
        <f>AND(#REF!,"AAAAAH3X/zo=")</f>
        <v>#REF!</v>
      </c>
      <c r="BH3" t="e">
        <f>AND(#REF!,"AAAAAH3X/zs=")</f>
        <v>#REF!</v>
      </c>
      <c r="BI3" t="e">
        <f>AND(#REF!,"AAAAAH3X/zw=")</f>
        <v>#REF!</v>
      </c>
      <c r="BJ3" t="e">
        <f>AND(#REF!,"AAAAAH3X/z0=")</f>
        <v>#REF!</v>
      </c>
      <c r="BK3" t="e">
        <f>AND(#REF!,"AAAAAH3X/z4=")</f>
        <v>#REF!</v>
      </c>
      <c r="BL3" t="e">
        <f>AND(#REF!,"AAAAAH3X/z8=")</f>
        <v>#REF!</v>
      </c>
      <c r="BM3" t="e">
        <f>AND(#REF!,"AAAAAH3X/0A=")</f>
        <v>#REF!</v>
      </c>
      <c r="BN3" t="e">
        <f>AND(#REF!,"AAAAAH3X/0E=")</f>
        <v>#REF!</v>
      </c>
      <c r="BO3" t="e">
        <f>AND(#REF!,"AAAAAH3X/0I=")</f>
        <v>#REF!</v>
      </c>
      <c r="BP3" t="e">
        <f>IF(#REF!,"AAAAAH3X/0M=",0)</f>
        <v>#REF!</v>
      </c>
      <c r="BQ3" t="e">
        <f>AND(#REF!,"AAAAAH3X/0Q=")</f>
        <v>#REF!</v>
      </c>
      <c r="BR3" t="e">
        <f>AND(#REF!,"AAAAAH3X/0U=")</f>
        <v>#REF!</v>
      </c>
      <c r="BS3" t="e">
        <f>AND(#REF!,"AAAAAH3X/0Y=")</f>
        <v>#REF!</v>
      </c>
      <c r="BT3" t="e">
        <f>AND(#REF!,"AAAAAH3X/0c=")</f>
        <v>#REF!</v>
      </c>
      <c r="BU3" t="e">
        <f>AND(#REF!,"AAAAAH3X/0g=")</f>
        <v>#REF!</v>
      </c>
      <c r="BV3" t="e">
        <f>AND(#REF!,"AAAAAH3X/0k=")</f>
        <v>#REF!</v>
      </c>
      <c r="BW3" t="e">
        <f>AND(#REF!,"AAAAAH3X/0o=")</f>
        <v>#REF!</v>
      </c>
      <c r="BX3" t="e">
        <f>AND(#REF!,"AAAAAH3X/0s=")</f>
        <v>#REF!</v>
      </c>
      <c r="BY3" t="e">
        <f>AND(#REF!,"AAAAAH3X/0w=")</f>
        <v>#REF!</v>
      </c>
      <c r="BZ3" t="e">
        <f>AND(#REF!,"AAAAAH3X/00=")</f>
        <v>#REF!</v>
      </c>
      <c r="CA3" t="e">
        <f>AND(#REF!,"AAAAAH3X/04=")</f>
        <v>#REF!</v>
      </c>
      <c r="CB3" t="e">
        <f>AND(#REF!,"AAAAAH3X/08=")</f>
        <v>#REF!</v>
      </c>
      <c r="CC3" t="e">
        <f>AND(#REF!,"AAAAAH3X/1A=")</f>
        <v>#REF!</v>
      </c>
      <c r="CD3" t="e">
        <f>IF(#REF!,"AAAAAH3X/1E=",0)</f>
        <v>#REF!</v>
      </c>
      <c r="CE3" t="e">
        <f>AND(#REF!,"AAAAAH3X/1I=")</f>
        <v>#REF!</v>
      </c>
      <c r="CF3" t="e">
        <f>AND(#REF!,"AAAAAH3X/1M=")</f>
        <v>#REF!</v>
      </c>
      <c r="CG3" t="e">
        <f>AND(#REF!,"AAAAAH3X/1Q=")</f>
        <v>#REF!</v>
      </c>
      <c r="CH3" t="e">
        <f>AND(#REF!,"AAAAAH3X/1U=")</f>
        <v>#REF!</v>
      </c>
      <c r="CI3" t="e">
        <f>AND(#REF!,"AAAAAH3X/1Y=")</f>
        <v>#REF!</v>
      </c>
      <c r="CJ3" t="e">
        <f>AND(#REF!,"AAAAAH3X/1c=")</f>
        <v>#REF!</v>
      </c>
      <c r="CK3" t="e">
        <f>AND(#REF!,"AAAAAH3X/1g=")</f>
        <v>#REF!</v>
      </c>
      <c r="CL3" t="e">
        <f>AND(#REF!,"AAAAAH3X/1k=")</f>
        <v>#REF!</v>
      </c>
      <c r="CM3" t="e">
        <f>AND(#REF!,"AAAAAH3X/1o=")</f>
        <v>#REF!</v>
      </c>
      <c r="CN3" t="e">
        <f>AND(#REF!,"AAAAAH3X/1s=")</f>
        <v>#REF!</v>
      </c>
      <c r="CO3" t="e">
        <f>AND(#REF!,"AAAAAH3X/1w=")</f>
        <v>#REF!</v>
      </c>
      <c r="CP3" t="e">
        <f>AND(#REF!,"AAAAAH3X/10=")</f>
        <v>#REF!</v>
      </c>
      <c r="CQ3" t="e">
        <f>AND(#REF!,"AAAAAH3X/14=")</f>
        <v>#REF!</v>
      </c>
      <c r="CR3" t="e">
        <f>IF(#REF!,"AAAAAH3X/18=",0)</f>
        <v>#REF!</v>
      </c>
      <c r="CS3" t="e">
        <f>AND(#REF!,"AAAAAH3X/2A=")</f>
        <v>#REF!</v>
      </c>
      <c r="CT3" t="e">
        <f>AND(#REF!,"AAAAAH3X/2E=")</f>
        <v>#REF!</v>
      </c>
      <c r="CU3" t="e">
        <f>AND(#REF!,"AAAAAH3X/2I=")</f>
        <v>#REF!</v>
      </c>
      <c r="CV3" t="e">
        <f>AND(#REF!,"AAAAAH3X/2M=")</f>
        <v>#REF!</v>
      </c>
      <c r="CW3" t="e">
        <f>AND(#REF!,"AAAAAH3X/2Q=")</f>
        <v>#REF!</v>
      </c>
      <c r="CX3" t="e">
        <f>AND(#REF!,"AAAAAH3X/2U=")</f>
        <v>#REF!</v>
      </c>
      <c r="CY3" t="e">
        <f>AND(#REF!,"AAAAAH3X/2Y=")</f>
        <v>#REF!</v>
      </c>
      <c r="CZ3" t="e">
        <f>AND(#REF!,"AAAAAH3X/2c=")</f>
        <v>#REF!</v>
      </c>
      <c r="DA3" t="e">
        <f>AND(#REF!,"AAAAAH3X/2g=")</f>
        <v>#REF!</v>
      </c>
      <c r="DB3" t="e">
        <f>AND(#REF!,"AAAAAH3X/2k=")</f>
        <v>#REF!</v>
      </c>
      <c r="DC3" t="e">
        <f>AND(#REF!,"AAAAAH3X/2o=")</f>
        <v>#REF!</v>
      </c>
      <c r="DD3" t="e">
        <f>AND(#REF!,"AAAAAH3X/2s=")</f>
        <v>#REF!</v>
      </c>
      <c r="DE3" t="e">
        <f>AND(#REF!,"AAAAAH3X/2w=")</f>
        <v>#REF!</v>
      </c>
      <c r="DF3" t="e">
        <f>IF(#REF!,"AAAAAH3X/20=",0)</f>
        <v>#REF!</v>
      </c>
      <c r="DG3" t="e">
        <f>AND(#REF!,"AAAAAH3X/24=")</f>
        <v>#REF!</v>
      </c>
      <c r="DH3" t="e">
        <f>AND(#REF!,"AAAAAH3X/28=")</f>
        <v>#REF!</v>
      </c>
      <c r="DI3" t="e">
        <f>AND(#REF!,"AAAAAH3X/3A=")</f>
        <v>#REF!</v>
      </c>
      <c r="DJ3" t="e">
        <f>AND(#REF!,"AAAAAH3X/3E=")</f>
        <v>#REF!</v>
      </c>
      <c r="DK3" t="e">
        <f>AND(#REF!,"AAAAAH3X/3I=")</f>
        <v>#REF!</v>
      </c>
      <c r="DL3" t="e">
        <f>AND(#REF!,"AAAAAH3X/3M=")</f>
        <v>#REF!</v>
      </c>
      <c r="DM3" t="e">
        <f>AND(#REF!,"AAAAAH3X/3Q=")</f>
        <v>#REF!</v>
      </c>
      <c r="DN3" t="e">
        <f>AND(#REF!,"AAAAAH3X/3U=")</f>
        <v>#REF!</v>
      </c>
      <c r="DO3" t="e">
        <f>AND(#REF!,"AAAAAH3X/3Y=")</f>
        <v>#REF!</v>
      </c>
      <c r="DP3" t="e">
        <f>AND(#REF!,"AAAAAH3X/3c=")</f>
        <v>#REF!</v>
      </c>
      <c r="DQ3" t="e">
        <f>AND(#REF!,"AAAAAH3X/3g=")</f>
        <v>#REF!</v>
      </c>
      <c r="DR3" t="e">
        <f>AND(#REF!,"AAAAAH3X/3k=")</f>
        <v>#REF!</v>
      </c>
      <c r="DS3" t="e">
        <f>AND(#REF!,"AAAAAH3X/3o=")</f>
        <v>#REF!</v>
      </c>
      <c r="DT3" t="e">
        <f>IF(#REF!,"AAAAAH3X/3s=",0)</f>
        <v>#REF!</v>
      </c>
      <c r="DU3" t="e">
        <f>AND(#REF!,"AAAAAH3X/3w=")</f>
        <v>#REF!</v>
      </c>
      <c r="DV3" t="e">
        <f>AND(#REF!,"AAAAAH3X/30=")</f>
        <v>#REF!</v>
      </c>
      <c r="DW3" t="e">
        <f>AND(#REF!,"AAAAAH3X/34=")</f>
        <v>#REF!</v>
      </c>
      <c r="DX3" t="e">
        <f>AND(#REF!,"AAAAAH3X/38=")</f>
        <v>#REF!</v>
      </c>
      <c r="DY3" t="e">
        <f>AND(#REF!,"AAAAAH3X/4A=")</f>
        <v>#REF!</v>
      </c>
      <c r="DZ3" t="e">
        <f>AND(#REF!,"AAAAAH3X/4E=")</f>
        <v>#REF!</v>
      </c>
      <c r="EA3" t="e">
        <f>AND(#REF!,"AAAAAH3X/4I=")</f>
        <v>#REF!</v>
      </c>
      <c r="EB3" t="e">
        <f>AND(#REF!,"AAAAAH3X/4M=")</f>
        <v>#REF!</v>
      </c>
      <c r="EC3" t="e">
        <f>AND(#REF!,"AAAAAH3X/4Q=")</f>
        <v>#REF!</v>
      </c>
      <c r="ED3" t="e">
        <f>AND(#REF!,"AAAAAH3X/4U=")</f>
        <v>#REF!</v>
      </c>
      <c r="EE3" t="e">
        <f>AND(#REF!,"AAAAAH3X/4Y=")</f>
        <v>#REF!</v>
      </c>
      <c r="EF3" t="e">
        <f>AND(#REF!,"AAAAAH3X/4c=")</f>
        <v>#REF!</v>
      </c>
      <c r="EG3" t="e">
        <f>AND(#REF!,"AAAAAH3X/4g=")</f>
        <v>#REF!</v>
      </c>
      <c r="EH3" t="e">
        <f>IF(#REF!,"AAAAAH3X/4k=",0)</f>
        <v>#REF!</v>
      </c>
      <c r="EI3" t="e">
        <f>AND(#REF!,"AAAAAH3X/4o=")</f>
        <v>#REF!</v>
      </c>
      <c r="EJ3" t="e">
        <f>AND(#REF!,"AAAAAH3X/4s=")</f>
        <v>#REF!</v>
      </c>
      <c r="EK3" t="e">
        <f>AND(#REF!,"AAAAAH3X/4w=")</f>
        <v>#REF!</v>
      </c>
      <c r="EL3" t="e">
        <f>AND(#REF!,"AAAAAH3X/40=")</f>
        <v>#REF!</v>
      </c>
      <c r="EM3" t="e">
        <f>AND(#REF!,"AAAAAH3X/44=")</f>
        <v>#REF!</v>
      </c>
      <c r="EN3" t="e">
        <f>AND(#REF!,"AAAAAH3X/48=")</f>
        <v>#REF!</v>
      </c>
      <c r="EO3" t="e">
        <f>AND(#REF!,"AAAAAH3X/5A=")</f>
        <v>#REF!</v>
      </c>
      <c r="EP3" t="e">
        <f>AND(#REF!,"AAAAAH3X/5E=")</f>
        <v>#REF!</v>
      </c>
      <c r="EQ3" t="e">
        <f>AND(#REF!,"AAAAAH3X/5I=")</f>
        <v>#REF!</v>
      </c>
      <c r="ER3" t="e">
        <f>AND(#REF!,"AAAAAH3X/5M=")</f>
        <v>#REF!</v>
      </c>
      <c r="ES3" t="e">
        <f>AND(#REF!,"AAAAAH3X/5Q=")</f>
        <v>#REF!</v>
      </c>
      <c r="ET3" t="e">
        <f>AND(#REF!,"AAAAAH3X/5U=")</f>
        <v>#REF!</v>
      </c>
      <c r="EU3" t="e">
        <f>AND(#REF!,"AAAAAH3X/5Y=")</f>
        <v>#REF!</v>
      </c>
      <c r="EV3" t="e">
        <f>IF(#REF!,"AAAAAH3X/5c=",0)</f>
        <v>#REF!</v>
      </c>
      <c r="EW3" t="e">
        <f>AND(#REF!,"AAAAAH3X/5g=")</f>
        <v>#REF!</v>
      </c>
      <c r="EX3" t="e">
        <f>AND(#REF!,"AAAAAH3X/5k=")</f>
        <v>#REF!</v>
      </c>
      <c r="EY3" t="e">
        <f>AND(#REF!,"AAAAAH3X/5o=")</f>
        <v>#REF!</v>
      </c>
      <c r="EZ3" t="e">
        <f>AND(#REF!,"AAAAAH3X/5s=")</f>
        <v>#REF!</v>
      </c>
      <c r="FA3" t="e">
        <f>AND(#REF!,"AAAAAH3X/5w=")</f>
        <v>#REF!</v>
      </c>
      <c r="FB3" t="e">
        <f>AND(#REF!,"AAAAAH3X/50=")</f>
        <v>#REF!</v>
      </c>
      <c r="FC3" t="e">
        <f>AND(#REF!,"AAAAAH3X/54=")</f>
        <v>#REF!</v>
      </c>
      <c r="FD3" t="e">
        <f>AND(#REF!,"AAAAAH3X/58=")</f>
        <v>#REF!</v>
      </c>
      <c r="FE3" t="e">
        <f>AND(#REF!,"AAAAAH3X/6A=")</f>
        <v>#REF!</v>
      </c>
      <c r="FF3" t="e">
        <f>AND(#REF!,"AAAAAH3X/6E=")</f>
        <v>#REF!</v>
      </c>
      <c r="FG3" t="e">
        <f>AND(#REF!,"AAAAAH3X/6I=")</f>
        <v>#REF!</v>
      </c>
      <c r="FH3" t="e">
        <f>AND(#REF!,"AAAAAH3X/6M=")</f>
        <v>#REF!</v>
      </c>
      <c r="FI3" t="e">
        <f>AND(#REF!,"AAAAAH3X/6Q=")</f>
        <v>#REF!</v>
      </c>
      <c r="FJ3" t="e">
        <f>IF(#REF!,"AAAAAH3X/6U=",0)</f>
        <v>#REF!</v>
      </c>
      <c r="FK3" t="e">
        <f>AND(#REF!,"AAAAAH3X/6Y=")</f>
        <v>#REF!</v>
      </c>
      <c r="FL3" t="e">
        <f>AND(#REF!,"AAAAAH3X/6c=")</f>
        <v>#REF!</v>
      </c>
      <c r="FM3" t="e">
        <f>AND(#REF!,"AAAAAH3X/6g=")</f>
        <v>#REF!</v>
      </c>
      <c r="FN3" t="e">
        <f>AND(#REF!,"AAAAAH3X/6k=")</f>
        <v>#REF!</v>
      </c>
      <c r="FO3" t="e">
        <f>AND(#REF!,"AAAAAH3X/6o=")</f>
        <v>#REF!</v>
      </c>
      <c r="FP3" t="e">
        <f>AND(#REF!,"AAAAAH3X/6s=")</f>
        <v>#REF!</v>
      </c>
      <c r="FQ3" t="e">
        <f>AND(#REF!,"AAAAAH3X/6w=")</f>
        <v>#REF!</v>
      </c>
      <c r="FR3" t="e">
        <f>AND(#REF!,"AAAAAH3X/60=")</f>
        <v>#REF!</v>
      </c>
      <c r="FS3" t="e">
        <f>AND(#REF!,"AAAAAH3X/64=")</f>
        <v>#REF!</v>
      </c>
      <c r="FT3" t="e">
        <f>AND(#REF!,"AAAAAH3X/68=")</f>
        <v>#REF!</v>
      </c>
      <c r="FU3" t="e">
        <f>AND(#REF!,"AAAAAH3X/7A=")</f>
        <v>#REF!</v>
      </c>
      <c r="FV3" t="e">
        <f>AND(#REF!,"AAAAAH3X/7E=")</f>
        <v>#REF!</v>
      </c>
      <c r="FW3" t="e">
        <f>AND(#REF!,"AAAAAH3X/7I=")</f>
        <v>#REF!</v>
      </c>
      <c r="FX3" t="e">
        <f>IF(#REF!,"AAAAAH3X/7M=",0)</f>
        <v>#REF!</v>
      </c>
      <c r="FY3" t="e">
        <f>AND(#REF!,"AAAAAH3X/7Q=")</f>
        <v>#REF!</v>
      </c>
      <c r="FZ3" t="e">
        <f>AND(#REF!,"AAAAAH3X/7U=")</f>
        <v>#REF!</v>
      </c>
      <c r="GA3" t="e">
        <f>AND(#REF!,"AAAAAH3X/7Y=")</f>
        <v>#REF!</v>
      </c>
      <c r="GB3" t="e">
        <f>AND(#REF!,"AAAAAH3X/7c=")</f>
        <v>#REF!</v>
      </c>
      <c r="GC3" t="e">
        <f>AND(#REF!,"AAAAAH3X/7g=")</f>
        <v>#REF!</v>
      </c>
      <c r="GD3" t="e">
        <f>AND(#REF!,"AAAAAH3X/7k=")</f>
        <v>#REF!</v>
      </c>
      <c r="GE3" t="e">
        <f>AND(#REF!,"AAAAAH3X/7o=")</f>
        <v>#REF!</v>
      </c>
      <c r="GF3" t="e">
        <f>AND(#REF!,"AAAAAH3X/7s=")</f>
        <v>#REF!</v>
      </c>
      <c r="GG3" t="e">
        <f>AND(#REF!,"AAAAAH3X/7w=")</f>
        <v>#REF!</v>
      </c>
      <c r="GH3" t="e">
        <f>AND(#REF!,"AAAAAH3X/70=")</f>
        <v>#REF!</v>
      </c>
      <c r="GI3" t="e">
        <f>AND(#REF!,"AAAAAH3X/74=")</f>
        <v>#REF!</v>
      </c>
      <c r="GJ3" t="e">
        <f>AND(#REF!,"AAAAAH3X/78=")</f>
        <v>#REF!</v>
      </c>
      <c r="GK3" t="e">
        <f>AND(#REF!,"AAAAAH3X/8A=")</f>
        <v>#REF!</v>
      </c>
      <c r="GL3" t="e">
        <f>IF(#REF!,"AAAAAH3X/8E=",0)</f>
        <v>#REF!</v>
      </c>
      <c r="GM3" t="e">
        <f>AND(#REF!,"AAAAAH3X/8I=")</f>
        <v>#REF!</v>
      </c>
      <c r="GN3" t="e">
        <f>AND(#REF!,"AAAAAH3X/8M=")</f>
        <v>#REF!</v>
      </c>
      <c r="GO3" t="e">
        <f>AND(#REF!,"AAAAAH3X/8Q=")</f>
        <v>#REF!</v>
      </c>
      <c r="GP3" t="e">
        <f>AND(#REF!,"AAAAAH3X/8U=")</f>
        <v>#REF!</v>
      </c>
      <c r="GQ3" t="e">
        <f>AND(#REF!,"AAAAAH3X/8Y=")</f>
        <v>#REF!</v>
      </c>
      <c r="GR3" t="e">
        <f>AND(#REF!,"AAAAAH3X/8c=")</f>
        <v>#REF!</v>
      </c>
      <c r="GS3" t="e">
        <f>AND(#REF!,"AAAAAH3X/8g=")</f>
        <v>#REF!</v>
      </c>
      <c r="GT3" t="e">
        <f>AND(#REF!,"AAAAAH3X/8k=")</f>
        <v>#REF!</v>
      </c>
      <c r="GU3" t="e">
        <f>AND(#REF!,"AAAAAH3X/8o=")</f>
        <v>#REF!</v>
      </c>
      <c r="GV3" t="e">
        <f>AND(#REF!,"AAAAAH3X/8s=")</f>
        <v>#REF!</v>
      </c>
      <c r="GW3" t="e">
        <f>AND(#REF!,"AAAAAH3X/8w=")</f>
        <v>#REF!</v>
      </c>
      <c r="GX3" t="e">
        <f>AND(#REF!,"AAAAAH3X/80=")</f>
        <v>#REF!</v>
      </c>
      <c r="GY3" t="e">
        <f>AND(#REF!,"AAAAAH3X/84=")</f>
        <v>#REF!</v>
      </c>
      <c r="GZ3" t="e">
        <f>IF(#REF!,"AAAAAH3X/88=",0)</f>
        <v>#REF!</v>
      </c>
      <c r="HA3" t="e">
        <f>AND(#REF!,"AAAAAH3X/9A=")</f>
        <v>#REF!</v>
      </c>
      <c r="HB3" t="e">
        <f>AND(#REF!,"AAAAAH3X/9E=")</f>
        <v>#REF!</v>
      </c>
      <c r="HC3" t="e">
        <f>AND(#REF!,"AAAAAH3X/9I=")</f>
        <v>#REF!</v>
      </c>
      <c r="HD3" t="e">
        <f>AND(#REF!,"AAAAAH3X/9M=")</f>
        <v>#REF!</v>
      </c>
      <c r="HE3" t="e">
        <f>AND(#REF!,"AAAAAH3X/9Q=")</f>
        <v>#REF!</v>
      </c>
      <c r="HF3" t="e">
        <f>AND(#REF!,"AAAAAH3X/9U=")</f>
        <v>#REF!</v>
      </c>
      <c r="HG3" t="e">
        <f>AND(#REF!,"AAAAAH3X/9Y=")</f>
        <v>#REF!</v>
      </c>
      <c r="HH3" t="e">
        <f>AND(#REF!,"AAAAAH3X/9c=")</f>
        <v>#REF!</v>
      </c>
      <c r="HI3" t="e">
        <f>AND(#REF!,"AAAAAH3X/9g=")</f>
        <v>#REF!</v>
      </c>
      <c r="HJ3" t="e">
        <f>AND(#REF!,"AAAAAH3X/9k=")</f>
        <v>#REF!</v>
      </c>
      <c r="HK3" t="e">
        <f>AND(#REF!,"AAAAAH3X/9o=")</f>
        <v>#REF!</v>
      </c>
      <c r="HL3" t="e">
        <f>AND(#REF!,"AAAAAH3X/9s=")</f>
        <v>#REF!</v>
      </c>
      <c r="HM3" t="e">
        <f>AND(#REF!,"AAAAAH3X/9w=")</f>
        <v>#REF!</v>
      </c>
      <c r="HN3" t="e">
        <f>IF(#REF!,"AAAAAH3X/90=",0)</f>
        <v>#REF!</v>
      </c>
      <c r="HO3" t="e">
        <f>AND(#REF!,"AAAAAH3X/94=")</f>
        <v>#REF!</v>
      </c>
      <c r="HP3" t="e">
        <f>AND(#REF!,"AAAAAH3X/98=")</f>
        <v>#REF!</v>
      </c>
      <c r="HQ3" t="e">
        <f>AND(#REF!,"AAAAAH3X/+A=")</f>
        <v>#REF!</v>
      </c>
      <c r="HR3" t="e">
        <f>AND(#REF!,"AAAAAH3X/+E=")</f>
        <v>#REF!</v>
      </c>
      <c r="HS3" t="e">
        <f>AND(#REF!,"AAAAAH3X/+I=")</f>
        <v>#REF!</v>
      </c>
      <c r="HT3" t="e">
        <f>AND(#REF!,"AAAAAH3X/+M=")</f>
        <v>#REF!</v>
      </c>
      <c r="HU3" t="e">
        <f>AND(#REF!,"AAAAAH3X/+Q=")</f>
        <v>#REF!</v>
      </c>
      <c r="HV3" t="e">
        <f>AND(#REF!,"AAAAAH3X/+U=")</f>
        <v>#REF!</v>
      </c>
      <c r="HW3" t="e">
        <f>AND(#REF!,"AAAAAH3X/+Y=")</f>
        <v>#REF!</v>
      </c>
      <c r="HX3" t="e">
        <f>AND(#REF!,"AAAAAH3X/+c=")</f>
        <v>#REF!</v>
      </c>
      <c r="HY3" t="e">
        <f>AND(#REF!,"AAAAAH3X/+g=")</f>
        <v>#REF!</v>
      </c>
      <c r="HZ3" t="e">
        <f>AND(#REF!,"AAAAAH3X/+k=")</f>
        <v>#REF!</v>
      </c>
      <c r="IA3" t="e">
        <f>AND(#REF!,"AAAAAH3X/+o=")</f>
        <v>#REF!</v>
      </c>
      <c r="IB3" t="e">
        <f>IF(#REF!,"AAAAAH3X/+s=",0)</f>
        <v>#REF!</v>
      </c>
      <c r="IC3" t="e">
        <f>AND(#REF!,"AAAAAH3X/+w=")</f>
        <v>#REF!</v>
      </c>
      <c r="ID3" t="e">
        <f>AND(#REF!,"AAAAAH3X/+0=")</f>
        <v>#REF!</v>
      </c>
      <c r="IE3" t="e">
        <f>AND(#REF!,"AAAAAH3X/+4=")</f>
        <v>#REF!</v>
      </c>
      <c r="IF3" t="e">
        <f>AND(#REF!,"AAAAAH3X/+8=")</f>
        <v>#REF!</v>
      </c>
      <c r="IG3" t="e">
        <f>AND(#REF!,"AAAAAH3X//A=")</f>
        <v>#REF!</v>
      </c>
      <c r="IH3" t="e">
        <f>AND(#REF!,"AAAAAH3X//E=")</f>
        <v>#REF!</v>
      </c>
      <c r="II3" t="e">
        <f>AND(#REF!,"AAAAAH3X//I=")</f>
        <v>#REF!</v>
      </c>
      <c r="IJ3" t="e">
        <f>AND(#REF!,"AAAAAH3X//M=")</f>
        <v>#REF!</v>
      </c>
      <c r="IK3" t="e">
        <f>AND(#REF!,"AAAAAH3X//Q=")</f>
        <v>#REF!</v>
      </c>
      <c r="IL3" t="e">
        <f>AND(#REF!,"AAAAAH3X//U=")</f>
        <v>#REF!</v>
      </c>
      <c r="IM3" t="e">
        <f>AND(#REF!,"AAAAAH3X//Y=")</f>
        <v>#REF!</v>
      </c>
      <c r="IN3" t="e">
        <f>AND(#REF!,"AAAAAH3X//c=")</f>
        <v>#REF!</v>
      </c>
      <c r="IO3" t="e">
        <f>AND(#REF!,"AAAAAH3X//g=")</f>
        <v>#REF!</v>
      </c>
      <c r="IP3" t="e">
        <f>IF(#REF!,"AAAAAH3X//k=",0)</f>
        <v>#REF!</v>
      </c>
      <c r="IQ3" t="e">
        <f>AND(#REF!,"AAAAAH3X//o=")</f>
        <v>#REF!</v>
      </c>
      <c r="IR3" t="e">
        <f>AND(#REF!,"AAAAAH3X//s=")</f>
        <v>#REF!</v>
      </c>
      <c r="IS3" t="e">
        <f>AND(#REF!,"AAAAAH3X//w=")</f>
        <v>#REF!</v>
      </c>
      <c r="IT3" t="e">
        <f>AND(#REF!,"AAAAAH3X//0=")</f>
        <v>#REF!</v>
      </c>
      <c r="IU3" t="e">
        <f>AND(#REF!,"AAAAAH3X//4=")</f>
        <v>#REF!</v>
      </c>
      <c r="IV3" t="e">
        <f>AND(#REF!,"AAAAAH3X//8=")</f>
        <v>#REF!</v>
      </c>
    </row>
    <row r="4" spans="1:256" x14ac:dyDescent="0.2">
      <c r="A4" t="e">
        <f>AND(#REF!,"AAAAAG+bOwA=")</f>
        <v>#REF!</v>
      </c>
      <c r="B4" t="e">
        <f>AND(#REF!,"AAAAAG+bOwE=")</f>
        <v>#REF!</v>
      </c>
      <c r="C4" t="e">
        <f>AND(#REF!,"AAAAAG+bOwI=")</f>
        <v>#REF!</v>
      </c>
      <c r="D4" t="e">
        <f>AND(#REF!,"AAAAAG+bOwM=")</f>
        <v>#REF!</v>
      </c>
      <c r="E4" t="e">
        <f>AND(#REF!,"AAAAAG+bOwQ=")</f>
        <v>#REF!</v>
      </c>
      <c r="F4" t="e">
        <f>AND(#REF!,"AAAAAG+bOwU=")</f>
        <v>#REF!</v>
      </c>
      <c r="G4" t="e">
        <f>AND(#REF!,"AAAAAG+bOwY=")</f>
        <v>#REF!</v>
      </c>
      <c r="H4" t="e">
        <f>IF(#REF!,"AAAAAG+bOwc=",0)</f>
        <v>#REF!</v>
      </c>
      <c r="I4" t="e">
        <f>AND(#REF!,"AAAAAG+bOwg=")</f>
        <v>#REF!</v>
      </c>
      <c r="J4" t="e">
        <f>AND(#REF!,"AAAAAG+bOwk=")</f>
        <v>#REF!</v>
      </c>
      <c r="K4" t="e">
        <f>AND(#REF!,"AAAAAG+bOwo=")</f>
        <v>#REF!</v>
      </c>
      <c r="L4" t="e">
        <f>AND(#REF!,"AAAAAG+bOws=")</f>
        <v>#REF!</v>
      </c>
      <c r="M4" t="e">
        <f>AND(#REF!,"AAAAAG+bOww=")</f>
        <v>#REF!</v>
      </c>
      <c r="N4" t="e">
        <f>AND(#REF!,"AAAAAG+bOw0=")</f>
        <v>#REF!</v>
      </c>
      <c r="O4" t="e">
        <f>AND(#REF!,"AAAAAG+bOw4=")</f>
        <v>#REF!</v>
      </c>
      <c r="P4" t="e">
        <f>AND(#REF!,"AAAAAG+bOw8=")</f>
        <v>#REF!</v>
      </c>
      <c r="Q4" t="e">
        <f>AND(#REF!,"AAAAAG+bOxA=")</f>
        <v>#REF!</v>
      </c>
      <c r="R4" t="e">
        <f>AND(#REF!,"AAAAAG+bOxE=")</f>
        <v>#REF!</v>
      </c>
      <c r="S4" t="e">
        <f>AND(#REF!,"AAAAAG+bOxI=")</f>
        <v>#REF!</v>
      </c>
      <c r="T4" t="e">
        <f>AND(#REF!,"AAAAAG+bOxM=")</f>
        <v>#REF!</v>
      </c>
      <c r="U4" t="e">
        <f>AND(#REF!,"AAAAAG+bOxQ=")</f>
        <v>#REF!</v>
      </c>
      <c r="V4" t="e">
        <f>IF(#REF!,"AAAAAG+bOxU=",0)</f>
        <v>#REF!</v>
      </c>
      <c r="W4" t="e">
        <f>AND(#REF!,"AAAAAG+bOxY=")</f>
        <v>#REF!</v>
      </c>
      <c r="X4" t="e">
        <f>AND(#REF!,"AAAAAG+bOxc=")</f>
        <v>#REF!</v>
      </c>
      <c r="Y4" t="e">
        <f>AND(#REF!,"AAAAAG+bOxg=")</f>
        <v>#REF!</v>
      </c>
      <c r="Z4" t="e">
        <f>AND(#REF!,"AAAAAG+bOxk=")</f>
        <v>#REF!</v>
      </c>
      <c r="AA4" t="e">
        <f>AND(#REF!,"AAAAAG+bOxo=")</f>
        <v>#REF!</v>
      </c>
      <c r="AB4" t="e">
        <f>AND(#REF!,"AAAAAG+bOxs=")</f>
        <v>#REF!</v>
      </c>
      <c r="AC4" t="e">
        <f>AND(#REF!,"AAAAAG+bOxw=")</f>
        <v>#REF!</v>
      </c>
      <c r="AD4" t="e">
        <f>AND(#REF!,"AAAAAG+bOx0=")</f>
        <v>#REF!</v>
      </c>
      <c r="AE4" t="e">
        <f>AND(#REF!,"AAAAAG+bOx4=")</f>
        <v>#REF!</v>
      </c>
      <c r="AF4" t="e">
        <f>AND(#REF!,"AAAAAG+bOx8=")</f>
        <v>#REF!</v>
      </c>
      <c r="AG4" t="e">
        <f>AND(#REF!,"AAAAAG+bOyA=")</f>
        <v>#REF!</v>
      </c>
      <c r="AH4" t="e">
        <f>AND(#REF!,"AAAAAG+bOyE=")</f>
        <v>#REF!</v>
      </c>
      <c r="AI4" t="e">
        <f>AND(#REF!,"AAAAAG+bOyI=")</f>
        <v>#REF!</v>
      </c>
      <c r="AJ4" t="e">
        <f>IF(#REF!,"AAAAAG+bOyM=",0)</f>
        <v>#REF!</v>
      </c>
      <c r="AK4" t="e">
        <f>AND(#REF!,"AAAAAG+bOyQ=")</f>
        <v>#REF!</v>
      </c>
      <c r="AL4" t="e">
        <f>AND(#REF!,"AAAAAG+bOyU=")</f>
        <v>#REF!</v>
      </c>
      <c r="AM4" t="e">
        <f>AND(#REF!,"AAAAAG+bOyY=")</f>
        <v>#REF!</v>
      </c>
      <c r="AN4" t="e">
        <f>AND(#REF!,"AAAAAG+bOyc=")</f>
        <v>#REF!</v>
      </c>
      <c r="AO4" t="e">
        <f>AND(#REF!,"AAAAAG+bOyg=")</f>
        <v>#REF!</v>
      </c>
      <c r="AP4" t="e">
        <f>AND(#REF!,"AAAAAG+bOyk=")</f>
        <v>#REF!</v>
      </c>
      <c r="AQ4" t="e">
        <f>AND(#REF!,"AAAAAG+bOyo=")</f>
        <v>#REF!</v>
      </c>
      <c r="AR4" t="e">
        <f>AND(#REF!,"AAAAAG+bOys=")</f>
        <v>#REF!</v>
      </c>
      <c r="AS4" t="e">
        <f>AND(#REF!,"AAAAAG+bOyw=")</f>
        <v>#REF!</v>
      </c>
      <c r="AT4" t="e">
        <f>AND(#REF!,"AAAAAG+bOy0=")</f>
        <v>#REF!</v>
      </c>
      <c r="AU4" t="e">
        <f>AND(#REF!,"AAAAAG+bOy4=")</f>
        <v>#REF!</v>
      </c>
      <c r="AV4" t="e">
        <f>AND(#REF!,"AAAAAG+bOy8=")</f>
        <v>#REF!</v>
      </c>
      <c r="AW4" t="e">
        <f>AND(#REF!,"AAAAAG+bOzA=")</f>
        <v>#REF!</v>
      </c>
      <c r="AX4" t="e">
        <f>IF(#REF!,"AAAAAG+bOzE=",0)</f>
        <v>#REF!</v>
      </c>
      <c r="AY4" t="e">
        <f>AND(#REF!,"AAAAAG+bOzI=")</f>
        <v>#REF!</v>
      </c>
      <c r="AZ4" t="e">
        <f>AND(#REF!,"AAAAAG+bOzM=")</f>
        <v>#REF!</v>
      </c>
      <c r="BA4" t="e">
        <f>AND(#REF!,"AAAAAG+bOzQ=")</f>
        <v>#REF!</v>
      </c>
      <c r="BB4" t="e">
        <f>AND(#REF!,"AAAAAG+bOzU=")</f>
        <v>#REF!</v>
      </c>
      <c r="BC4" t="e">
        <f>AND(#REF!,"AAAAAG+bOzY=")</f>
        <v>#REF!</v>
      </c>
      <c r="BD4" t="e">
        <f>AND(#REF!,"AAAAAG+bOzc=")</f>
        <v>#REF!</v>
      </c>
      <c r="BE4" t="e">
        <f>AND(#REF!,"AAAAAG+bOzg=")</f>
        <v>#REF!</v>
      </c>
      <c r="BF4" t="e">
        <f>AND(#REF!,"AAAAAG+bOzk=")</f>
        <v>#REF!</v>
      </c>
      <c r="BG4" t="e">
        <f>AND(#REF!,"AAAAAG+bOzo=")</f>
        <v>#REF!</v>
      </c>
      <c r="BH4" t="e">
        <f>AND(#REF!,"AAAAAG+bOzs=")</f>
        <v>#REF!</v>
      </c>
      <c r="BI4" t="e">
        <f>AND(#REF!,"AAAAAG+bOzw=")</f>
        <v>#REF!</v>
      </c>
      <c r="BJ4" t="e">
        <f>AND(#REF!,"AAAAAG+bOz0=")</f>
        <v>#REF!</v>
      </c>
      <c r="BK4" t="e">
        <f>AND(#REF!,"AAAAAG+bOz4=")</f>
        <v>#REF!</v>
      </c>
      <c r="BL4" t="e">
        <f>IF(#REF!,"AAAAAG+bOz8=",0)</f>
        <v>#REF!</v>
      </c>
      <c r="BM4" t="e">
        <f>AND(#REF!,"AAAAAG+bO0A=")</f>
        <v>#REF!</v>
      </c>
      <c r="BN4" t="e">
        <f>AND(#REF!,"AAAAAG+bO0E=")</f>
        <v>#REF!</v>
      </c>
      <c r="BO4" t="e">
        <f>AND(#REF!,"AAAAAG+bO0I=")</f>
        <v>#REF!</v>
      </c>
      <c r="BP4" t="e">
        <f>AND(#REF!,"AAAAAG+bO0M=")</f>
        <v>#REF!</v>
      </c>
      <c r="BQ4" t="e">
        <f>AND(#REF!,"AAAAAG+bO0Q=")</f>
        <v>#REF!</v>
      </c>
      <c r="BR4" t="e">
        <f>AND(#REF!,"AAAAAG+bO0U=")</f>
        <v>#REF!</v>
      </c>
      <c r="BS4" t="e">
        <f>AND(#REF!,"AAAAAG+bO0Y=")</f>
        <v>#REF!</v>
      </c>
      <c r="BT4" t="e">
        <f>AND(#REF!,"AAAAAG+bO0c=")</f>
        <v>#REF!</v>
      </c>
      <c r="BU4" t="e">
        <f>AND(#REF!,"AAAAAG+bO0g=")</f>
        <v>#REF!</v>
      </c>
      <c r="BV4" t="e">
        <f>AND(#REF!,"AAAAAG+bO0k=")</f>
        <v>#REF!</v>
      </c>
      <c r="BW4" t="e">
        <f>AND(#REF!,"AAAAAG+bO0o=")</f>
        <v>#REF!</v>
      </c>
      <c r="BX4" t="e">
        <f>AND(#REF!,"AAAAAG+bO0s=")</f>
        <v>#REF!</v>
      </c>
      <c r="BY4" t="e">
        <f>AND(#REF!,"AAAAAG+bO0w=")</f>
        <v>#REF!</v>
      </c>
      <c r="BZ4" t="e">
        <f>IF(#REF!,"AAAAAG+bO00=",0)</f>
        <v>#REF!</v>
      </c>
      <c r="CA4" t="e">
        <f>AND(#REF!,"AAAAAG+bO04=")</f>
        <v>#REF!</v>
      </c>
      <c r="CB4" t="e">
        <f>AND(#REF!,"AAAAAG+bO08=")</f>
        <v>#REF!</v>
      </c>
      <c r="CC4" t="e">
        <f>AND(#REF!,"AAAAAG+bO1A=")</f>
        <v>#REF!</v>
      </c>
      <c r="CD4" t="e">
        <f>AND(#REF!,"AAAAAG+bO1E=")</f>
        <v>#REF!</v>
      </c>
      <c r="CE4" t="e">
        <f>AND(#REF!,"AAAAAG+bO1I=")</f>
        <v>#REF!</v>
      </c>
      <c r="CF4" t="e">
        <f>AND(#REF!,"AAAAAG+bO1M=")</f>
        <v>#REF!</v>
      </c>
      <c r="CG4" t="e">
        <f>AND(#REF!,"AAAAAG+bO1Q=")</f>
        <v>#REF!</v>
      </c>
      <c r="CH4" t="e">
        <f>AND(#REF!,"AAAAAG+bO1U=")</f>
        <v>#REF!</v>
      </c>
      <c r="CI4" t="e">
        <f>AND(#REF!,"AAAAAG+bO1Y=")</f>
        <v>#REF!</v>
      </c>
      <c r="CJ4" t="e">
        <f>AND(#REF!,"AAAAAG+bO1c=")</f>
        <v>#REF!</v>
      </c>
      <c r="CK4" t="e">
        <f>AND(#REF!,"AAAAAG+bO1g=")</f>
        <v>#REF!</v>
      </c>
      <c r="CL4" t="e">
        <f>AND(#REF!,"AAAAAG+bO1k=")</f>
        <v>#REF!</v>
      </c>
      <c r="CM4" t="e">
        <f>AND(#REF!,"AAAAAG+bO1o=")</f>
        <v>#REF!</v>
      </c>
      <c r="CN4" t="e">
        <f>IF(#REF!,"AAAAAG+bO1s=",0)</f>
        <v>#REF!</v>
      </c>
      <c r="CO4" t="e">
        <f>AND(#REF!,"AAAAAG+bO1w=")</f>
        <v>#REF!</v>
      </c>
      <c r="CP4" t="e">
        <f>AND(#REF!,"AAAAAG+bO10=")</f>
        <v>#REF!</v>
      </c>
      <c r="CQ4" t="e">
        <f>AND(#REF!,"AAAAAG+bO14=")</f>
        <v>#REF!</v>
      </c>
      <c r="CR4" t="e">
        <f>AND(#REF!,"AAAAAG+bO18=")</f>
        <v>#REF!</v>
      </c>
      <c r="CS4" t="e">
        <f>AND(#REF!,"AAAAAG+bO2A=")</f>
        <v>#REF!</v>
      </c>
      <c r="CT4" t="e">
        <f>AND(#REF!,"AAAAAG+bO2E=")</f>
        <v>#REF!</v>
      </c>
      <c r="CU4" t="e">
        <f>AND(#REF!,"AAAAAG+bO2I=")</f>
        <v>#REF!</v>
      </c>
      <c r="CV4" t="e">
        <f>AND(#REF!,"AAAAAG+bO2M=")</f>
        <v>#REF!</v>
      </c>
      <c r="CW4" t="e">
        <f>AND(#REF!,"AAAAAG+bO2Q=")</f>
        <v>#REF!</v>
      </c>
      <c r="CX4" t="e">
        <f>AND(#REF!,"AAAAAG+bO2U=")</f>
        <v>#REF!</v>
      </c>
      <c r="CY4" t="e">
        <f>AND(#REF!,"AAAAAG+bO2Y=")</f>
        <v>#REF!</v>
      </c>
      <c r="CZ4" t="e">
        <f>AND(#REF!,"AAAAAG+bO2c=")</f>
        <v>#REF!</v>
      </c>
      <c r="DA4" t="e">
        <f>AND(#REF!,"AAAAAG+bO2g=")</f>
        <v>#REF!</v>
      </c>
      <c r="DB4" t="e">
        <f>IF(#REF!,"AAAAAG+bO2k=",0)</f>
        <v>#REF!</v>
      </c>
      <c r="DC4" t="e">
        <f>AND(#REF!,"AAAAAG+bO2o=")</f>
        <v>#REF!</v>
      </c>
      <c r="DD4" t="e">
        <f>AND(#REF!,"AAAAAG+bO2s=")</f>
        <v>#REF!</v>
      </c>
      <c r="DE4" t="e">
        <f>AND(#REF!,"AAAAAG+bO2w=")</f>
        <v>#REF!</v>
      </c>
      <c r="DF4" t="e">
        <f>AND(#REF!,"AAAAAG+bO20=")</f>
        <v>#REF!</v>
      </c>
      <c r="DG4" t="e">
        <f>AND(#REF!,"AAAAAG+bO24=")</f>
        <v>#REF!</v>
      </c>
      <c r="DH4" t="e">
        <f>AND(#REF!,"AAAAAG+bO28=")</f>
        <v>#REF!</v>
      </c>
      <c r="DI4" t="e">
        <f>AND(#REF!,"AAAAAG+bO3A=")</f>
        <v>#REF!</v>
      </c>
      <c r="DJ4" t="e">
        <f>AND(#REF!,"AAAAAG+bO3E=")</f>
        <v>#REF!</v>
      </c>
      <c r="DK4" t="e">
        <f>AND(#REF!,"AAAAAG+bO3I=")</f>
        <v>#REF!</v>
      </c>
      <c r="DL4" t="e">
        <f>AND(#REF!,"AAAAAG+bO3M=")</f>
        <v>#REF!</v>
      </c>
      <c r="DM4" t="e">
        <f>AND(#REF!,"AAAAAG+bO3Q=")</f>
        <v>#REF!</v>
      </c>
      <c r="DN4" t="e">
        <f>AND(#REF!,"AAAAAG+bO3U=")</f>
        <v>#REF!</v>
      </c>
      <c r="DO4" t="e">
        <f>AND(#REF!,"AAAAAG+bO3Y=")</f>
        <v>#REF!</v>
      </c>
      <c r="DP4" t="e">
        <f>IF(#REF!,"AAAAAG+bO3c=",0)</f>
        <v>#REF!</v>
      </c>
      <c r="DQ4" t="e">
        <f>AND(#REF!,"AAAAAG+bO3g=")</f>
        <v>#REF!</v>
      </c>
      <c r="DR4" t="e">
        <f>AND(#REF!,"AAAAAG+bO3k=")</f>
        <v>#REF!</v>
      </c>
      <c r="DS4" t="e">
        <f>AND(#REF!,"AAAAAG+bO3o=")</f>
        <v>#REF!</v>
      </c>
      <c r="DT4" t="e">
        <f>AND(#REF!,"AAAAAG+bO3s=")</f>
        <v>#REF!</v>
      </c>
      <c r="DU4" t="e">
        <f>AND(#REF!,"AAAAAG+bO3w=")</f>
        <v>#REF!</v>
      </c>
      <c r="DV4" t="e">
        <f>AND(#REF!,"AAAAAG+bO30=")</f>
        <v>#REF!</v>
      </c>
      <c r="DW4" t="e">
        <f>AND(#REF!,"AAAAAG+bO34=")</f>
        <v>#REF!</v>
      </c>
      <c r="DX4" t="e">
        <f>AND(#REF!,"AAAAAG+bO38=")</f>
        <v>#REF!</v>
      </c>
      <c r="DY4" t="e">
        <f>AND(#REF!,"AAAAAG+bO4A=")</f>
        <v>#REF!</v>
      </c>
      <c r="DZ4" t="e">
        <f>AND(#REF!,"AAAAAG+bO4E=")</f>
        <v>#REF!</v>
      </c>
      <c r="EA4" t="e">
        <f>AND(#REF!,"AAAAAG+bO4I=")</f>
        <v>#REF!</v>
      </c>
      <c r="EB4" t="e">
        <f>AND(#REF!,"AAAAAG+bO4M=")</f>
        <v>#REF!</v>
      </c>
      <c r="EC4" t="e">
        <f>AND(#REF!,"AAAAAG+bO4Q=")</f>
        <v>#REF!</v>
      </c>
      <c r="ED4" t="e">
        <f>IF(#REF!,"AAAAAG+bO4U=",0)</f>
        <v>#REF!</v>
      </c>
      <c r="EE4" t="e">
        <f>AND(#REF!,"AAAAAG+bO4Y=")</f>
        <v>#REF!</v>
      </c>
      <c r="EF4" t="e">
        <f>AND(#REF!,"AAAAAG+bO4c=")</f>
        <v>#REF!</v>
      </c>
      <c r="EG4" t="e">
        <f>AND(#REF!,"AAAAAG+bO4g=")</f>
        <v>#REF!</v>
      </c>
      <c r="EH4" t="e">
        <f>AND(#REF!,"AAAAAG+bO4k=")</f>
        <v>#REF!</v>
      </c>
      <c r="EI4" t="e">
        <f>AND(#REF!,"AAAAAG+bO4o=")</f>
        <v>#REF!</v>
      </c>
      <c r="EJ4" t="e">
        <f>AND(#REF!,"AAAAAG+bO4s=")</f>
        <v>#REF!</v>
      </c>
      <c r="EK4" t="e">
        <f>AND(#REF!,"AAAAAG+bO4w=")</f>
        <v>#REF!</v>
      </c>
      <c r="EL4" t="e">
        <f>AND(#REF!,"AAAAAG+bO40=")</f>
        <v>#REF!</v>
      </c>
      <c r="EM4" t="e">
        <f>AND(#REF!,"AAAAAG+bO44=")</f>
        <v>#REF!</v>
      </c>
      <c r="EN4" t="e">
        <f>AND(#REF!,"AAAAAG+bO48=")</f>
        <v>#REF!</v>
      </c>
      <c r="EO4" t="e">
        <f>AND(#REF!,"AAAAAG+bO5A=")</f>
        <v>#REF!</v>
      </c>
      <c r="EP4" t="e">
        <f>AND(#REF!,"AAAAAG+bO5E=")</f>
        <v>#REF!</v>
      </c>
      <c r="EQ4" t="e">
        <f>AND(#REF!,"AAAAAG+bO5I=")</f>
        <v>#REF!</v>
      </c>
      <c r="ER4" t="e">
        <f>IF(#REF!,"AAAAAG+bO5M=",0)</f>
        <v>#REF!</v>
      </c>
      <c r="ES4" t="e">
        <f>AND(#REF!,"AAAAAG+bO5Q=")</f>
        <v>#REF!</v>
      </c>
      <c r="ET4" t="e">
        <f>AND(#REF!,"AAAAAG+bO5U=")</f>
        <v>#REF!</v>
      </c>
      <c r="EU4" t="e">
        <f>AND(#REF!,"AAAAAG+bO5Y=")</f>
        <v>#REF!</v>
      </c>
      <c r="EV4" t="e">
        <f>AND(#REF!,"AAAAAG+bO5c=")</f>
        <v>#REF!</v>
      </c>
      <c r="EW4" t="e">
        <f>AND(#REF!,"AAAAAG+bO5g=")</f>
        <v>#REF!</v>
      </c>
      <c r="EX4" t="e">
        <f>AND(#REF!,"AAAAAG+bO5k=")</f>
        <v>#REF!</v>
      </c>
      <c r="EY4" t="e">
        <f>AND(#REF!,"AAAAAG+bO5o=")</f>
        <v>#REF!</v>
      </c>
      <c r="EZ4" t="e">
        <f>AND(#REF!,"AAAAAG+bO5s=")</f>
        <v>#REF!</v>
      </c>
      <c r="FA4" t="e">
        <f>AND(#REF!,"AAAAAG+bO5w=")</f>
        <v>#REF!</v>
      </c>
      <c r="FB4" t="e">
        <f>AND(#REF!,"AAAAAG+bO50=")</f>
        <v>#REF!</v>
      </c>
      <c r="FC4" t="e">
        <f>AND(#REF!,"AAAAAG+bO54=")</f>
        <v>#REF!</v>
      </c>
      <c r="FD4" t="e">
        <f>AND(#REF!,"AAAAAG+bO58=")</f>
        <v>#REF!</v>
      </c>
      <c r="FE4" t="e">
        <f>AND(#REF!,"AAAAAG+bO6A=")</f>
        <v>#REF!</v>
      </c>
      <c r="FF4" t="e">
        <f>IF(#REF!,"AAAAAG+bO6E=",0)</f>
        <v>#REF!</v>
      </c>
      <c r="FG4" t="e">
        <f>AND(#REF!,"AAAAAG+bO6I=")</f>
        <v>#REF!</v>
      </c>
      <c r="FH4" t="e">
        <f>AND(#REF!,"AAAAAG+bO6M=")</f>
        <v>#REF!</v>
      </c>
      <c r="FI4" t="e">
        <f>AND(#REF!,"AAAAAG+bO6Q=")</f>
        <v>#REF!</v>
      </c>
      <c r="FJ4" t="e">
        <f>AND(#REF!,"AAAAAG+bO6U=")</f>
        <v>#REF!</v>
      </c>
      <c r="FK4" t="e">
        <f>AND(#REF!,"AAAAAG+bO6Y=")</f>
        <v>#REF!</v>
      </c>
      <c r="FL4" t="e">
        <f>AND(#REF!,"AAAAAG+bO6c=")</f>
        <v>#REF!</v>
      </c>
      <c r="FM4" t="e">
        <f>AND(#REF!,"AAAAAG+bO6g=")</f>
        <v>#REF!</v>
      </c>
      <c r="FN4" t="e">
        <f>AND(#REF!,"AAAAAG+bO6k=")</f>
        <v>#REF!</v>
      </c>
      <c r="FO4" t="e">
        <f>AND(#REF!,"AAAAAG+bO6o=")</f>
        <v>#REF!</v>
      </c>
      <c r="FP4" t="e">
        <f>AND(#REF!,"AAAAAG+bO6s=")</f>
        <v>#REF!</v>
      </c>
      <c r="FQ4" t="e">
        <f>AND(#REF!,"AAAAAG+bO6w=")</f>
        <v>#REF!</v>
      </c>
      <c r="FR4" t="e">
        <f>AND(#REF!,"AAAAAG+bO60=")</f>
        <v>#REF!</v>
      </c>
      <c r="FS4" t="e">
        <f>AND(#REF!,"AAAAAG+bO64=")</f>
        <v>#REF!</v>
      </c>
      <c r="FT4" t="e">
        <f>IF(#REF!,"AAAAAG+bO68=",0)</f>
        <v>#REF!</v>
      </c>
      <c r="FU4" t="e">
        <f>AND(#REF!,"AAAAAG+bO7A=")</f>
        <v>#REF!</v>
      </c>
      <c r="FV4" t="e">
        <f>AND(#REF!,"AAAAAG+bO7E=")</f>
        <v>#REF!</v>
      </c>
      <c r="FW4" t="e">
        <f>AND(#REF!,"AAAAAG+bO7I=")</f>
        <v>#REF!</v>
      </c>
      <c r="FX4" t="e">
        <f>AND(#REF!,"AAAAAG+bO7M=")</f>
        <v>#REF!</v>
      </c>
      <c r="FY4" t="e">
        <f>AND(#REF!,"AAAAAG+bO7Q=")</f>
        <v>#REF!</v>
      </c>
      <c r="FZ4" t="e">
        <f>AND(#REF!,"AAAAAG+bO7U=")</f>
        <v>#REF!</v>
      </c>
      <c r="GA4" t="e">
        <f>AND(#REF!,"AAAAAG+bO7Y=")</f>
        <v>#REF!</v>
      </c>
      <c r="GB4" t="e">
        <f>AND(#REF!,"AAAAAG+bO7c=")</f>
        <v>#REF!</v>
      </c>
      <c r="GC4" t="e">
        <f>AND(#REF!,"AAAAAG+bO7g=")</f>
        <v>#REF!</v>
      </c>
      <c r="GD4" t="e">
        <f>AND(#REF!,"AAAAAG+bO7k=")</f>
        <v>#REF!</v>
      </c>
      <c r="GE4" t="e">
        <f>AND(#REF!,"AAAAAG+bO7o=")</f>
        <v>#REF!</v>
      </c>
      <c r="GF4" t="e">
        <f>AND(#REF!,"AAAAAG+bO7s=")</f>
        <v>#REF!</v>
      </c>
      <c r="GG4" t="e">
        <f>AND(#REF!,"AAAAAG+bO7w=")</f>
        <v>#REF!</v>
      </c>
      <c r="GH4" t="e">
        <f>IF(#REF!,"AAAAAG+bO70=",0)</f>
        <v>#REF!</v>
      </c>
      <c r="GI4" t="e">
        <f>AND(#REF!,"AAAAAG+bO74=")</f>
        <v>#REF!</v>
      </c>
      <c r="GJ4" t="e">
        <f>AND(#REF!,"AAAAAG+bO78=")</f>
        <v>#REF!</v>
      </c>
      <c r="GK4" t="e">
        <f>AND(#REF!,"AAAAAG+bO8A=")</f>
        <v>#REF!</v>
      </c>
      <c r="GL4" t="e">
        <f>AND(#REF!,"AAAAAG+bO8E=")</f>
        <v>#REF!</v>
      </c>
      <c r="GM4" t="e">
        <f>AND(#REF!,"AAAAAG+bO8I=")</f>
        <v>#REF!</v>
      </c>
      <c r="GN4" t="e">
        <f>AND(#REF!,"AAAAAG+bO8M=")</f>
        <v>#REF!</v>
      </c>
      <c r="GO4" t="e">
        <f>AND(#REF!,"AAAAAG+bO8Q=")</f>
        <v>#REF!</v>
      </c>
      <c r="GP4" t="e">
        <f>AND(#REF!,"AAAAAG+bO8U=")</f>
        <v>#REF!</v>
      </c>
      <c r="GQ4" t="e">
        <f>AND(#REF!,"AAAAAG+bO8Y=")</f>
        <v>#REF!</v>
      </c>
      <c r="GR4" t="e">
        <f>AND(#REF!,"AAAAAG+bO8c=")</f>
        <v>#REF!</v>
      </c>
      <c r="GS4" t="e">
        <f>AND(#REF!,"AAAAAG+bO8g=")</f>
        <v>#REF!</v>
      </c>
      <c r="GT4" t="e">
        <f>AND(#REF!,"AAAAAG+bO8k=")</f>
        <v>#REF!</v>
      </c>
      <c r="GU4" t="e">
        <f>AND(#REF!,"AAAAAG+bO8o=")</f>
        <v>#REF!</v>
      </c>
      <c r="GV4" t="e">
        <f>IF(#REF!,"AAAAAG+bO8s=",0)</f>
        <v>#REF!</v>
      </c>
      <c r="GW4" t="e">
        <f>AND(#REF!,"AAAAAG+bO8w=")</f>
        <v>#REF!</v>
      </c>
      <c r="GX4" t="e">
        <f>AND(#REF!,"AAAAAG+bO80=")</f>
        <v>#REF!</v>
      </c>
      <c r="GY4" t="e">
        <f>AND(#REF!,"AAAAAG+bO84=")</f>
        <v>#REF!</v>
      </c>
      <c r="GZ4" t="e">
        <f>AND(#REF!,"AAAAAG+bO88=")</f>
        <v>#REF!</v>
      </c>
      <c r="HA4" t="e">
        <f>AND(#REF!,"AAAAAG+bO9A=")</f>
        <v>#REF!</v>
      </c>
      <c r="HB4" t="e">
        <f>AND(#REF!,"AAAAAG+bO9E=")</f>
        <v>#REF!</v>
      </c>
      <c r="HC4" t="e">
        <f>AND(#REF!,"AAAAAG+bO9I=")</f>
        <v>#REF!</v>
      </c>
      <c r="HD4" t="e">
        <f>AND(#REF!,"AAAAAG+bO9M=")</f>
        <v>#REF!</v>
      </c>
      <c r="HE4" t="e">
        <f>AND(#REF!,"AAAAAG+bO9Q=")</f>
        <v>#REF!</v>
      </c>
      <c r="HF4" t="e">
        <f>AND(#REF!,"AAAAAG+bO9U=")</f>
        <v>#REF!</v>
      </c>
      <c r="HG4" t="e">
        <f>AND(#REF!,"AAAAAG+bO9Y=")</f>
        <v>#REF!</v>
      </c>
      <c r="HH4" t="e">
        <f>AND(#REF!,"AAAAAG+bO9c=")</f>
        <v>#REF!</v>
      </c>
      <c r="HI4" t="e">
        <f>AND(#REF!,"AAAAAG+bO9g=")</f>
        <v>#REF!</v>
      </c>
      <c r="HJ4" t="e">
        <f>IF(#REF!,"AAAAAG+bO9k=",0)</f>
        <v>#REF!</v>
      </c>
      <c r="HK4" t="e">
        <f>AND(#REF!,"AAAAAG+bO9o=")</f>
        <v>#REF!</v>
      </c>
      <c r="HL4" t="e">
        <f>AND(#REF!,"AAAAAG+bO9s=")</f>
        <v>#REF!</v>
      </c>
      <c r="HM4" t="e">
        <f>AND(#REF!,"AAAAAG+bO9w=")</f>
        <v>#REF!</v>
      </c>
      <c r="HN4" t="e">
        <f>AND(#REF!,"AAAAAG+bO90=")</f>
        <v>#REF!</v>
      </c>
      <c r="HO4" t="e">
        <f>AND(#REF!,"AAAAAG+bO94=")</f>
        <v>#REF!</v>
      </c>
      <c r="HP4" t="e">
        <f>AND(#REF!,"AAAAAG+bO98=")</f>
        <v>#REF!</v>
      </c>
      <c r="HQ4" t="e">
        <f>AND(#REF!,"AAAAAG+bO+A=")</f>
        <v>#REF!</v>
      </c>
      <c r="HR4" t="e">
        <f>AND(#REF!,"AAAAAG+bO+E=")</f>
        <v>#REF!</v>
      </c>
      <c r="HS4" t="e">
        <f>AND(#REF!,"AAAAAG+bO+I=")</f>
        <v>#REF!</v>
      </c>
      <c r="HT4" t="e">
        <f>AND(#REF!,"AAAAAG+bO+M=")</f>
        <v>#REF!</v>
      </c>
      <c r="HU4" t="e">
        <f>AND(#REF!,"AAAAAG+bO+Q=")</f>
        <v>#REF!</v>
      </c>
      <c r="HV4" t="e">
        <f>AND(#REF!,"AAAAAG+bO+U=")</f>
        <v>#REF!</v>
      </c>
      <c r="HW4" t="e">
        <f>AND(#REF!,"AAAAAG+bO+Y=")</f>
        <v>#REF!</v>
      </c>
      <c r="HX4" t="e">
        <f>IF(#REF!,"AAAAAG+bO+c=",0)</f>
        <v>#REF!</v>
      </c>
      <c r="HY4" t="e">
        <f>AND(#REF!,"AAAAAG+bO+g=")</f>
        <v>#REF!</v>
      </c>
      <c r="HZ4" t="e">
        <f>AND(#REF!,"AAAAAG+bO+k=")</f>
        <v>#REF!</v>
      </c>
      <c r="IA4" t="e">
        <f>AND(#REF!,"AAAAAG+bO+o=")</f>
        <v>#REF!</v>
      </c>
      <c r="IB4" t="e">
        <f>AND(#REF!,"AAAAAG+bO+s=")</f>
        <v>#REF!</v>
      </c>
      <c r="IC4" t="e">
        <f>AND(#REF!,"AAAAAG+bO+w=")</f>
        <v>#REF!</v>
      </c>
      <c r="ID4" t="e">
        <f>AND(#REF!,"AAAAAG+bO+0=")</f>
        <v>#REF!</v>
      </c>
      <c r="IE4" t="e">
        <f>AND(#REF!,"AAAAAG+bO+4=")</f>
        <v>#REF!</v>
      </c>
      <c r="IF4" t="e">
        <f>AND(#REF!,"AAAAAG+bO+8=")</f>
        <v>#REF!</v>
      </c>
      <c r="IG4" t="e">
        <f>AND(#REF!,"AAAAAG+bO/A=")</f>
        <v>#REF!</v>
      </c>
      <c r="IH4" t="e">
        <f>AND(#REF!,"AAAAAG+bO/E=")</f>
        <v>#REF!</v>
      </c>
      <c r="II4" t="e">
        <f>AND(#REF!,"AAAAAG+bO/I=")</f>
        <v>#REF!</v>
      </c>
      <c r="IJ4" t="e">
        <f>AND(#REF!,"AAAAAG+bO/M=")</f>
        <v>#REF!</v>
      </c>
      <c r="IK4" t="e">
        <f>AND(#REF!,"AAAAAG+bO/Q=")</f>
        <v>#REF!</v>
      </c>
      <c r="IL4" t="e">
        <f>IF(#REF!,"AAAAAG+bO/U=",0)</f>
        <v>#REF!</v>
      </c>
      <c r="IM4" t="e">
        <f>AND(#REF!,"AAAAAG+bO/Y=")</f>
        <v>#REF!</v>
      </c>
      <c r="IN4" t="e">
        <f>AND(#REF!,"AAAAAG+bO/c=")</f>
        <v>#REF!</v>
      </c>
      <c r="IO4" t="e">
        <f>AND(#REF!,"AAAAAG+bO/g=")</f>
        <v>#REF!</v>
      </c>
      <c r="IP4" t="e">
        <f>AND(#REF!,"AAAAAG+bO/k=")</f>
        <v>#REF!</v>
      </c>
      <c r="IQ4" t="e">
        <f>AND(#REF!,"AAAAAG+bO/o=")</f>
        <v>#REF!</v>
      </c>
      <c r="IR4" t="e">
        <f>AND(#REF!,"AAAAAG+bO/s=")</f>
        <v>#REF!</v>
      </c>
      <c r="IS4" t="e">
        <f>AND(#REF!,"AAAAAG+bO/w=")</f>
        <v>#REF!</v>
      </c>
      <c r="IT4" t="e">
        <f>AND(#REF!,"AAAAAG+bO/0=")</f>
        <v>#REF!</v>
      </c>
      <c r="IU4" t="e">
        <f>AND(#REF!,"AAAAAG+bO/4=")</f>
        <v>#REF!</v>
      </c>
      <c r="IV4" t="e">
        <f>AND(#REF!,"AAAAAG+bO/8=")</f>
        <v>#REF!</v>
      </c>
    </row>
    <row r="5" spans="1:256" x14ac:dyDescent="0.2">
      <c r="A5" t="e">
        <f>AND(#REF!,"AAAAAHV/fwA=")</f>
        <v>#REF!</v>
      </c>
      <c r="B5" t="e">
        <f>AND(#REF!,"AAAAAHV/fwE=")</f>
        <v>#REF!</v>
      </c>
      <c r="C5" t="e">
        <f>AND(#REF!,"AAAAAHV/fwI=")</f>
        <v>#REF!</v>
      </c>
      <c r="D5" t="e">
        <f>IF(#REF!,"AAAAAHV/fwM=",0)</f>
        <v>#REF!</v>
      </c>
      <c r="E5" t="e">
        <f>AND(#REF!,"AAAAAHV/fwQ=")</f>
        <v>#REF!</v>
      </c>
      <c r="F5" t="e">
        <f>AND(#REF!,"AAAAAHV/fwU=")</f>
        <v>#REF!</v>
      </c>
      <c r="G5" t="e">
        <f>AND(#REF!,"AAAAAHV/fwY=")</f>
        <v>#REF!</v>
      </c>
      <c r="H5" t="e">
        <f>AND(#REF!,"AAAAAHV/fwc=")</f>
        <v>#REF!</v>
      </c>
      <c r="I5" t="e">
        <f>AND(#REF!,"AAAAAHV/fwg=")</f>
        <v>#REF!</v>
      </c>
      <c r="J5" t="e">
        <f>AND(#REF!,"AAAAAHV/fwk=")</f>
        <v>#REF!</v>
      </c>
      <c r="K5" t="e">
        <f>AND(#REF!,"AAAAAHV/fwo=")</f>
        <v>#REF!</v>
      </c>
      <c r="L5" t="e">
        <f>AND(#REF!,"AAAAAHV/fws=")</f>
        <v>#REF!</v>
      </c>
      <c r="M5" t="e">
        <f>AND(#REF!,"AAAAAHV/fww=")</f>
        <v>#REF!</v>
      </c>
      <c r="N5" t="e">
        <f>AND(#REF!,"AAAAAHV/fw0=")</f>
        <v>#REF!</v>
      </c>
      <c r="O5" t="e">
        <f>AND(#REF!,"AAAAAHV/fw4=")</f>
        <v>#REF!</v>
      </c>
      <c r="P5" t="e">
        <f>AND(#REF!,"AAAAAHV/fw8=")</f>
        <v>#REF!</v>
      </c>
      <c r="Q5" t="e">
        <f>AND(#REF!,"AAAAAHV/fxA=")</f>
        <v>#REF!</v>
      </c>
      <c r="R5" t="e">
        <f>IF(#REF!,"AAAAAHV/fxE=",0)</f>
        <v>#REF!</v>
      </c>
      <c r="S5" t="e">
        <f>AND(#REF!,"AAAAAHV/fxI=")</f>
        <v>#REF!</v>
      </c>
      <c r="T5" t="e">
        <f>AND(#REF!,"AAAAAHV/fxM=")</f>
        <v>#REF!</v>
      </c>
      <c r="U5" t="e">
        <f>AND(#REF!,"AAAAAHV/fxQ=")</f>
        <v>#REF!</v>
      </c>
      <c r="V5" t="e">
        <f>AND(#REF!,"AAAAAHV/fxU=")</f>
        <v>#REF!</v>
      </c>
      <c r="W5" t="e">
        <f>AND(#REF!,"AAAAAHV/fxY=")</f>
        <v>#REF!</v>
      </c>
      <c r="X5" t="e">
        <f>AND(#REF!,"AAAAAHV/fxc=")</f>
        <v>#REF!</v>
      </c>
      <c r="Y5" t="e">
        <f>AND(#REF!,"AAAAAHV/fxg=")</f>
        <v>#REF!</v>
      </c>
      <c r="Z5" t="e">
        <f>AND(#REF!,"AAAAAHV/fxk=")</f>
        <v>#REF!</v>
      </c>
      <c r="AA5" t="e">
        <f>AND(#REF!,"AAAAAHV/fxo=")</f>
        <v>#REF!</v>
      </c>
      <c r="AB5" t="e">
        <f>AND(#REF!,"AAAAAHV/fxs=")</f>
        <v>#REF!</v>
      </c>
      <c r="AC5" t="e">
        <f>AND(#REF!,"AAAAAHV/fxw=")</f>
        <v>#REF!</v>
      </c>
      <c r="AD5" t="e">
        <f>AND(#REF!,"AAAAAHV/fx0=")</f>
        <v>#REF!</v>
      </c>
      <c r="AE5" t="e">
        <f>AND(#REF!,"AAAAAHV/fx4=")</f>
        <v>#REF!</v>
      </c>
      <c r="AF5" t="e">
        <f>IF(#REF!,"AAAAAHV/fx8=",0)</f>
        <v>#REF!</v>
      </c>
      <c r="AG5" t="e">
        <f>AND(#REF!,"AAAAAHV/fyA=")</f>
        <v>#REF!</v>
      </c>
      <c r="AH5" t="e">
        <f>AND(#REF!,"AAAAAHV/fyE=")</f>
        <v>#REF!</v>
      </c>
      <c r="AI5" t="e">
        <f>AND(#REF!,"AAAAAHV/fyI=")</f>
        <v>#REF!</v>
      </c>
      <c r="AJ5" t="e">
        <f>AND(#REF!,"AAAAAHV/fyM=")</f>
        <v>#REF!</v>
      </c>
      <c r="AK5" t="e">
        <f>AND(#REF!,"AAAAAHV/fyQ=")</f>
        <v>#REF!</v>
      </c>
      <c r="AL5" t="e">
        <f>AND(#REF!,"AAAAAHV/fyU=")</f>
        <v>#REF!</v>
      </c>
      <c r="AM5" t="e">
        <f>AND(#REF!,"AAAAAHV/fyY=")</f>
        <v>#REF!</v>
      </c>
      <c r="AN5" t="e">
        <f>AND(#REF!,"AAAAAHV/fyc=")</f>
        <v>#REF!</v>
      </c>
      <c r="AO5" t="e">
        <f>AND(#REF!,"AAAAAHV/fyg=")</f>
        <v>#REF!</v>
      </c>
      <c r="AP5" t="e">
        <f>AND(#REF!,"AAAAAHV/fyk=")</f>
        <v>#REF!</v>
      </c>
      <c r="AQ5" t="e">
        <f>AND(#REF!,"AAAAAHV/fyo=")</f>
        <v>#REF!</v>
      </c>
      <c r="AR5" t="e">
        <f>AND(#REF!,"AAAAAHV/fys=")</f>
        <v>#REF!</v>
      </c>
      <c r="AS5" t="e">
        <f>AND(#REF!,"AAAAAHV/fyw=")</f>
        <v>#REF!</v>
      </c>
      <c r="AT5" t="e">
        <f>IF(#REF!,"AAAAAHV/fy0=",0)</f>
        <v>#REF!</v>
      </c>
      <c r="AU5" t="e">
        <f>AND(#REF!,"AAAAAHV/fy4=")</f>
        <v>#REF!</v>
      </c>
      <c r="AV5" t="e">
        <f>AND(#REF!,"AAAAAHV/fy8=")</f>
        <v>#REF!</v>
      </c>
      <c r="AW5" t="e">
        <f>AND(#REF!,"AAAAAHV/fzA=")</f>
        <v>#REF!</v>
      </c>
      <c r="AX5" t="e">
        <f>AND(#REF!,"AAAAAHV/fzE=")</f>
        <v>#REF!</v>
      </c>
      <c r="AY5" t="e">
        <f>AND(#REF!,"AAAAAHV/fzI=")</f>
        <v>#REF!</v>
      </c>
      <c r="AZ5" t="e">
        <f>AND(#REF!,"AAAAAHV/fzM=")</f>
        <v>#REF!</v>
      </c>
      <c r="BA5" t="e">
        <f>AND(#REF!,"AAAAAHV/fzQ=")</f>
        <v>#REF!</v>
      </c>
      <c r="BB5" t="e">
        <f>AND(#REF!,"AAAAAHV/fzU=")</f>
        <v>#REF!</v>
      </c>
      <c r="BC5" t="e">
        <f>AND(#REF!,"AAAAAHV/fzY=")</f>
        <v>#REF!</v>
      </c>
      <c r="BD5" t="e">
        <f>AND(#REF!,"AAAAAHV/fzc=")</f>
        <v>#REF!</v>
      </c>
      <c r="BE5" t="e">
        <f>AND(#REF!,"AAAAAHV/fzg=")</f>
        <v>#REF!</v>
      </c>
      <c r="BF5" t="e">
        <f>AND(#REF!,"AAAAAHV/fzk=")</f>
        <v>#REF!</v>
      </c>
      <c r="BG5" t="e">
        <f>AND(#REF!,"AAAAAHV/fzo=")</f>
        <v>#REF!</v>
      </c>
      <c r="BH5" t="e">
        <f>IF(#REF!,"AAAAAHV/fzs=",0)</f>
        <v>#REF!</v>
      </c>
      <c r="BI5" t="e">
        <f>AND(#REF!,"AAAAAHV/fzw=")</f>
        <v>#REF!</v>
      </c>
      <c r="BJ5" t="e">
        <f>AND(#REF!,"AAAAAHV/fz0=")</f>
        <v>#REF!</v>
      </c>
      <c r="BK5" t="e">
        <f>AND(#REF!,"AAAAAHV/fz4=")</f>
        <v>#REF!</v>
      </c>
      <c r="BL5" t="e">
        <f>AND(#REF!,"AAAAAHV/fz8=")</f>
        <v>#REF!</v>
      </c>
      <c r="BM5" t="e">
        <f>AND(#REF!,"AAAAAHV/f0A=")</f>
        <v>#REF!</v>
      </c>
      <c r="BN5" t="e">
        <f>AND(#REF!,"AAAAAHV/f0E=")</f>
        <v>#REF!</v>
      </c>
      <c r="BO5" t="e">
        <f>AND(#REF!,"AAAAAHV/f0I=")</f>
        <v>#REF!</v>
      </c>
      <c r="BP5" t="e">
        <f>AND(#REF!,"AAAAAHV/f0M=")</f>
        <v>#REF!</v>
      </c>
      <c r="BQ5" t="e">
        <f>AND(#REF!,"AAAAAHV/f0Q=")</f>
        <v>#REF!</v>
      </c>
      <c r="BR5" t="e">
        <f>AND(#REF!,"AAAAAHV/f0U=")</f>
        <v>#REF!</v>
      </c>
      <c r="BS5" t="e">
        <f>AND(#REF!,"AAAAAHV/f0Y=")</f>
        <v>#REF!</v>
      </c>
      <c r="BT5" t="e">
        <f>AND(#REF!,"AAAAAHV/f0c=")</f>
        <v>#REF!</v>
      </c>
      <c r="BU5" t="e">
        <f>AND(#REF!,"AAAAAHV/f0g=")</f>
        <v>#REF!</v>
      </c>
      <c r="BV5" t="e">
        <f>IF(#REF!,"AAAAAHV/f0k=",0)</f>
        <v>#REF!</v>
      </c>
      <c r="BW5" t="e">
        <f>AND(#REF!,"AAAAAHV/f0o=")</f>
        <v>#REF!</v>
      </c>
      <c r="BX5" t="e">
        <f>AND(#REF!,"AAAAAHV/f0s=")</f>
        <v>#REF!</v>
      </c>
      <c r="BY5" t="e">
        <f>AND(#REF!,"AAAAAHV/f0w=")</f>
        <v>#REF!</v>
      </c>
      <c r="BZ5" t="e">
        <f>AND(#REF!,"AAAAAHV/f00=")</f>
        <v>#REF!</v>
      </c>
      <c r="CA5" t="e">
        <f>AND(#REF!,"AAAAAHV/f04=")</f>
        <v>#REF!</v>
      </c>
      <c r="CB5" t="e">
        <f>AND(#REF!,"AAAAAHV/f08=")</f>
        <v>#REF!</v>
      </c>
      <c r="CC5" t="e">
        <f>AND(#REF!,"AAAAAHV/f1A=")</f>
        <v>#REF!</v>
      </c>
      <c r="CD5" t="e">
        <f>AND(#REF!,"AAAAAHV/f1E=")</f>
        <v>#REF!</v>
      </c>
      <c r="CE5" t="e">
        <f>AND(#REF!,"AAAAAHV/f1I=")</f>
        <v>#REF!</v>
      </c>
      <c r="CF5" t="e">
        <f>AND(#REF!,"AAAAAHV/f1M=")</f>
        <v>#REF!</v>
      </c>
      <c r="CG5" t="e">
        <f>AND(#REF!,"AAAAAHV/f1Q=")</f>
        <v>#REF!</v>
      </c>
      <c r="CH5" t="e">
        <f>AND(#REF!,"AAAAAHV/f1U=")</f>
        <v>#REF!</v>
      </c>
      <c r="CI5" t="e">
        <f>AND(#REF!,"AAAAAHV/f1Y=")</f>
        <v>#REF!</v>
      </c>
      <c r="CJ5" t="e">
        <f>IF(#REF!,"AAAAAHV/f1c=",0)</f>
        <v>#REF!</v>
      </c>
      <c r="CK5" t="e">
        <f>AND(#REF!,"AAAAAHV/f1g=")</f>
        <v>#REF!</v>
      </c>
      <c r="CL5" t="e">
        <f>AND(#REF!,"AAAAAHV/f1k=")</f>
        <v>#REF!</v>
      </c>
      <c r="CM5" t="e">
        <f>AND(#REF!,"AAAAAHV/f1o=")</f>
        <v>#REF!</v>
      </c>
      <c r="CN5" t="e">
        <f>AND(#REF!,"AAAAAHV/f1s=")</f>
        <v>#REF!</v>
      </c>
      <c r="CO5" t="e">
        <f>AND(#REF!,"AAAAAHV/f1w=")</f>
        <v>#REF!</v>
      </c>
      <c r="CP5" t="e">
        <f>AND(#REF!,"AAAAAHV/f10=")</f>
        <v>#REF!</v>
      </c>
      <c r="CQ5" t="e">
        <f>AND(#REF!,"AAAAAHV/f14=")</f>
        <v>#REF!</v>
      </c>
      <c r="CR5" t="e">
        <f>AND(#REF!,"AAAAAHV/f18=")</f>
        <v>#REF!</v>
      </c>
      <c r="CS5" t="e">
        <f>AND(#REF!,"AAAAAHV/f2A=")</f>
        <v>#REF!</v>
      </c>
      <c r="CT5" t="e">
        <f>AND(#REF!,"AAAAAHV/f2E=")</f>
        <v>#REF!</v>
      </c>
      <c r="CU5" t="e">
        <f>AND(#REF!,"AAAAAHV/f2I=")</f>
        <v>#REF!</v>
      </c>
      <c r="CV5" t="e">
        <f>AND(#REF!,"AAAAAHV/f2M=")</f>
        <v>#REF!</v>
      </c>
      <c r="CW5" t="e">
        <f>AND(#REF!,"AAAAAHV/f2Q=")</f>
        <v>#REF!</v>
      </c>
      <c r="CX5" t="e">
        <f>IF(#REF!,"AAAAAHV/f2U=",0)</f>
        <v>#REF!</v>
      </c>
      <c r="CY5" t="e">
        <f>AND(#REF!,"AAAAAHV/f2Y=")</f>
        <v>#REF!</v>
      </c>
      <c r="CZ5" t="e">
        <f>AND(#REF!,"AAAAAHV/f2c=")</f>
        <v>#REF!</v>
      </c>
      <c r="DA5" t="e">
        <f>AND(#REF!,"AAAAAHV/f2g=")</f>
        <v>#REF!</v>
      </c>
      <c r="DB5" t="e">
        <f>AND(#REF!,"AAAAAHV/f2k=")</f>
        <v>#REF!</v>
      </c>
      <c r="DC5" t="e">
        <f>AND(#REF!,"AAAAAHV/f2o=")</f>
        <v>#REF!</v>
      </c>
      <c r="DD5" t="e">
        <f>AND(#REF!,"AAAAAHV/f2s=")</f>
        <v>#REF!</v>
      </c>
      <c r="DE5" t="e">
        <f>AND(#REF!,"AAAAAHV/f2w=")</f>
        <v>#REF!</v>
      </c>
      <c r="DF5" t="e">
        <f>AND(#REF!,"AAAAAHV/f20=")</f>
        <v>#REF!</v>
      </c>
      <c r="DG5" t="e">
        <f>AND(#REF!,"AAAAAHV/f24=")</f>
        <v>#REF!</v>
      </c>
      <c r="DH5" t="e">
        <f>AND(#REF!,"AAAAAHV/f28=")</f>
        <v>#REF!</v>
      </c>
      <c r="DI5" t="e">
        <f>AND(#REF!,"AAAAAHV/f3A=")</f>
        <v>#REF!</v>
      </c>
      <c r="DJ5" t="e">
        <f>AND(#REF!,"AAAAAHV/f3E=")</f>
        <v>#REF!</v>
      </c>
      <c r="DK5" t="e">
        <f>AND(#REF!,"AAAAAHV/f3I=")</f>
        <v>#REF!</v>
      </c>
      <c r="DL5" t="e">
        <f>IF(#REF!,"AAAAAHV/f3M=",0)</f>
        <v>#REF!</v>
      </c>
      <c r="DM5" t="e">
        <f>AND(#REF!,"AAAAAHV/f3Q=")</f>
        <v>#REF!</v>
      </c>
      <c r="DN5" t="e">
        <f>AND(#REF!,"AAAAAHV/f3U=")</f>
        <v>#REF!</v>
      </c>
      <c r="DO5" t="e">
        <f>AND(#REF!,"AAAAAHV/f3Y=")</f>
        <v>#REF!</v>
      </c>
      <c r="DP5" t="e">
        <f>AND(#REF!,"AAAAAHV/f3c=")</f>
        <v>#REF!</v>
      </c>
      <c r="DQ5" t="e">
        <f>AND(#REF!,"AAAAAHV/f3g=")</f>
        <v>#REF!</v>
      </c>
      <c r="DR5" t="e">
        <f>AND(#REF!,"AAAAAHV/f3k=")</f>
        <v>#REF!</v>
      </c>
      <c r="DS5" t="e">
        <f>AND(#REF!,"AAAAAHV/f3o=")</f>
        <v>#REF!</v>
      </c>
      <c r="DT5" t="e">
        <f>AND(#REF!,"AAAAAHV/f3s=")</f>
        <v>#REF!</v>
      </c>
      <c r="DU5" t="e">
        <f>AND(#REF!,"AAAAAHV/f3w=")</f>
        <v>#REF!</v>
      </c>
      <c r="DV5" t="e">
        <f>AND(#REF!,"AAAAAHV/f30=")</f>
        <v>#REF!</v>
      </c>
      <c r="DW5" t="e">
        <f>AND(#REF!,"AAAAAHV/f34=")</f>
        <v>#REF!</v>
      </c>
      <c r="DX5" t="e">
        <f>AND(#REF!,"AAAAAHV/f38=")</f>
        <v>#REF!</v>
      </c>
      <c r="DY5" t="e">
        <f>AND(#REF!,"AAAAAHV/f4A=")</f>
        <v>#REF!</v>
      </c>
      <c r="DZ5" t="e">
        <f>IF(#REF!,"AAAAAHV/f4E=",0)</f>
        <v>#REF!</v>
      </c>
      <c r="EA5" t="e">
        <f>AND(#REF!,"AAAAAHV/f4I=")</f>
        <v>#REF!</v>
      </c>
      <c r="EB5" t="e">
        <f>AND(#REF!,"AAAAAHV/f4M=")</f>
        <v>#REF!</v>
      </c>
      <c r="EC5" t="e">
        <f>AND(#REF!,"AAAAAHV/f4Q=")</f>
        <v>#REF!</v>
      </c>
      <c r="ED5" t="e">
        <f>AND(#REF!,"AAAAAHV/f4U=")</f>
        <v>#REF!</v>
      </c>
      <c r="EE5" t="e">
        <f>AND(#REF!,"AAAAAHV/f4Y=")</f>
        <v>#REF!</v>
      </c>
      <c r="EF5" t="e">
        <f>AND(#REF!,"AAAAAHV/f4c=")</f>
        <v>#REF!</v>
      </c>
      <c r="EG5" t="e">
        <f>AND(#REF!,"AAAAAHV/f4g=")</f>
        <v>#REF!</v>
      </c>
      <c r="EH5" t="e">
        <f>AND(#REF!,"AAAAAHV/f4k=")</f>
        <v>#REF!</v>
      </c>
      <c r="EI5" t="e">
        <f>AND(#REF!,"AAAAAHV/f4o=")</f>
        <v>#REF!</v>
      </c>
      <c r="EJ5" t="e">
        <f>AND(#REF!,"AAAAAHV/f4s=")</f>
        <v>#REF!</v>
      </c>
      <c r="EK5" t="e">
        <f>AND(#REF!,"AAAAAHV/f4w=")</f>
        <v>#REF!</v>
      </c>
      <c r="EL5" t="e">
        <f>AND(#REF!,"AAAAAHV/f40=")</f>
        <v>#REF!</v>
      </c>
      <c r="EM5" t="e">
        <f>AND(#REF!,"AAAAAHV/f44=")</f>
        <v>#REF!</v>
      </c>
      <c r="EN5" t="e">
        <f>IF(#REF!,"AAAAAHV/f48=",0)</f>
        <v>#REF!</v>
      </c>
      <c r="EO5" t="e">
        <f>AND(#REF!,"AAAAAHV/f5A=")</f>
        <v>#REF!</v>
      </c>
      <c r="EP5" t="e">
        <f>AND(#REF!,"AAAAAHV/f5E=")</f>
        <v>#REF!</v>
      </c>
      <c r="EQ5" t="e">
        <f>AND(#REF!,"AAAAAHV/f5I=")</f>
        <v>#REF!</v>
      </c>
      <c r="ER5" t="e">
        <f>AND(#REF!,"AAAAAHV/f5M=")</f>
        <v>#REF!</v>
      </c>
      <c r="ES5" t="e">
        <f>AND(#REF!,"AAAAAHV/f5Q=")</f>
        <v>#REF!</v>
      </c>
      <c r="ET5" t="e">
        <f>AND(#REF!,"AAAAAHV/f5U=")</f>
        <v>#REF!</v>
      </c>
      <c r="EU5" t="e">
        <f>AND(#REF!,"AAAAAHV/f5Y=")</f>
        <v>#REF!</v>
      </c>
      <c r="EV5" t="e">
        <f>AND(#REF!,"AAAAAHV/f5c=")</f>
        <v>#REF!</v>
      </c>
      <c r="EW5" t="e">
        <f>AND(#REF!,"AAAAAHV/f5g=")</f>
        <v>#REF!</v>
      </c>
      <c r="EX5" t="e">
        <f>AND(#REF!,"AAAAAHV/f5k=")</f>
        <v>#REF!</v>
      </c>
      <c r="EY5" t="e">
        <f>AND(#REF!,"AAAAAHV/f5o=")</f>
        <v>#REF!</v>
      </c>
      <c r="EZ5" t="e">
        <f>AND(#REF!,"AAAAAHV/f5s=")</f>
        <v>#REF!</v>
      </c>
      <c r="FA5" t="e">
        <f>AND(#REF!,"AAAAAHV/f5w=")</f>
        <v>#REF!</v>
      </c>
      <c r="FB5" t="e">
        <f>IF(#REF!,"AAAAAHV/f50=",0)</f>
        <v>#REF!</v>
      </c>
      <c r="FC5" t="e">
        <f>AND(#REF!,"AAAAAHV/f54=")</f>
        <v>#REF!</v>
      </c>
      <c r="FD5" t="e">
        <f>AND(#REF!,"AAAAAHV/f58=")</f>
        <v>#REF!</v>
      </c>
      <c r="FE5" t="e">
        <f>AND(#REF!,"AAAAAHV/f6A=")</f>
        <v>#REF!</v>
      </c>
      <c r="FF5" t="e">
        <f>AND(#REF!,"AAAAAHV/f6E=")</f>
        <v>#REF!</v>
      </c>
      <c r="FG5" t="e">
        <f>AND(#REF!,"AAAAAHV/f6I=")</f>
        <v>#REF!</v>
      </c>
      <c r="FH5" t="e">
        <f>AND(#REF!,"AAAAAHV/f6M=")</f>
        <v>#REF!</v>
      </c>
      <c r="FI5" t="e">
        <f>AND(#REF!,"AAAAAHV/f6Q=")</f>
        <v>#REF!</v>
      </c>
      <c r="FJ5" t="e">
        <f>AND(#REF!,"AAAAAHV/f6U=")</f>
        <v>#REF!</v>
      </c>
      <c r="FK5" t="e">
        <f>AND(#REF!,"AAAAAHV/f6Y=")</f>
        <v>#REF!</v>
      </c>
      <c r="FL5" t="e">
        <f>AND(#REF!,"AAAAAHV/f6c=")</f>
        <v>#REF!</v>
      </c>
      <c r="FM5" t="e">
        <f>AND(#REF!,"AAAAAHV/f6g=")</f>
        <v>#REF!</v>
      </c>
      <c r="FN5" t="e">
        <f>AND(#REF!,"AAAAAHV/f6k=")</f>
        <v>#REF!</v>
      </c>
      <c r="FO5" t="e">
        <f>AND(#REF!,"AAAAAHV/f6o=")</f>
        <v>#REF!</v>
      </c>
      <c r="FP5" t="e">
        <f>IF(#REF!,"AAAAAHV/f6s=",0)</f>
        <v>#REF!</v>
      </c>
      <c r="FQ5" t="e">
        <f>AND(#REF!,"AAAAAHV/f6w=")</f>
        <v>#REF!</v>
      </c>
      <c r="FR5" t="e">
        <f>AND(#REF!,"AAAAAHV/f60=")</f>
        <v>#REF!</v>
      </c>
      <c r="FS5" t="e">
        <f>AND(#REF!,"AAAAAHV/f64=")</f>
        <v>#REF!</v>
      </c>
      <c r="FT5" t="e">
        <f>AND(#REF!,"AAAAAHV/f68=")</f>
        <v>#REF!</v>
      </c>
      <c r="FU5" t="e">
        <f>AND(#REF!,"AAAAAHV/f7A=")</f>
        <v>#REF!</v>
      </c>
      <c r="FV5" t="e">
        <f>AND(#REF!,"AAAAAHV/f7E=")</f>
        <v>#REF!</v>
      </c>
      <c r="FW5" t="e">
        <f>AND(#REF!,"AAAAAHV/f7I=")</f>
        <v>#REF!</v>
      </c>
      <c r="FX5" t="e">
        <f>AND(#REF!,"AAAAAHV/f7M=")</f>
        <v>#REF!</v>
      </c>
      <c r="FY5" t="e">
        <f>AND(#REF!,"AAAAAHV/f7Q=")</f>
        <v>#REF!</v>
      </c>
      <c r="FZ5" t="e">
        <f>AND(#REF!,"AAAAAHV/f7U=")</f>
        <v>#REF!</v>
      </c>
      <c r="GA5" t="e">
        <f>AND(#REF!,"AAAAAHV/f7Y=")</f>
        <v>#REF!</v>
      </c>
      <c r="GB5" t="e">
        <f>AND(#REF!,"AAAAAHV/f7c=")</f>
        <v>#REF!</v>
      </c>
      <c r="GC5" t="e">
        <f>AND(#REF!,"AAAAAHV/f7g=")</f>
        <v>#REF!</v>
      </c>
      <c r="GD5" t="e">
        <f>IF(#REF!,"AAAAAHV/f7k=",0)</f>
        <v>#REF!</v>
      </c>
      <c r="GE5" t="e">
        <f>AND(#REF!,"AAAAAHV/f7o=")</f>
        <v>#REF!</v>
      </c>
      <c r="GF5" t="e">
        <f>AND(#REF!,"AAAAAHV/f7s=")</f>
        <v>#REF!</v>
      </c>
      <c r="GG5" t="e">
        <f>AND(#REF!,"AAAAAHV/f7w=")</f>
        <v>#REF!</v>
      </c>
      <c r="GH5" t="e">
        <f>AND(#REF!,"AAAAAHV/f70=")</f>
        <v>#REF!</v>
      </c>
      <c r="GI5" t="e">
        <f>AND(#REF!,"AAAAAHV/f74=")</f>
        <v>#REF!</v>
      </c>
      <c r="GJ5" t="e">
        <f>AND(#REF!,"AAAAAHV/f78=")</f>
        <v>#REF!</v>
      </c>
      <c r="GK5" t="e">
        <f>AND(#REF!,"AAAAAHV/f8A=")</f>
        <v>#REF!</v>
      </c>
      <c r="GL5" t="e">
        <f>AND(#REF!,"AAAAAHV/f8E=")</f>
        <v>#REF!</v>
      </c>
      <c r="GM5" t="e">
        <f>AND(#REF!,"AAAAAHV/f8I=")</f>
        <v>#REF!</v>
      </c>
      <c r="GN5" t="e">
        <f>AND(#REF!,"AAAAAHV/f8M=")</f>
        <v>#REF!</v>
      </c>
      <c r="GO5" t="e">
        <f>AND(#REF!,"AAAAAHV/f8Q=")</f>
        <v>#REF!</v>
      </c>
      <c r="GP5" t="e">
        <f>AND(#REF!,"AAAAAHV/f8U=")</f>
        <v>#REF!</v>
      </c>
      <c r="GQ5" t="e">
        <f>AND(#REF!,"AAAAAHV/f8Y=")</f>
        <v>#REF!</v>
      </c>
      <c r="GR5" t="e">
        <f>IF(#REF!,"AAAAAHV/f8c=",0)</f>
        <v>#REF!</v>
      </c>
      <c r="GS5" t="e">
        <f>AND(#REF!,"AAAAAHV/f8g=")</f>
        <v>#REF!</v>
      </c>
      <c r="GT5" t="e">
        <f>AND(#REF!,"AAAAAHV/f8k=")</f>
        <v>#REF!</v>
      </c>
      <c r="GU5" t="e">
        <f>AND(#REF!,"AAAAAHV/f8o=")</f>
        <v>#REF!</v>
      </c>
      <c r="GV5" t="e">
        <f>AND(#REF!,"AAAAAHV/f8s=")</f>
        <v>#REF!</v>
      </c>
      <c r="GW5" t="e">
        <f>AND(#REF!,"AAAAAHV/f8w=")</f>
        <v>#REF!</v>
      </c>
      <c r="GX5" t="e">
        <f>AND(#REF!,"AAAAAHV/f80=")</f>
        <v>#REF!</v>
      </c>
      <c r="GY5" t="e">
        <f>AND(#REF!,"AAAAAHV/f84=")</f>
        <v>#REF!</v>
      </c>
      <c r="GZ5" t="e">
        <f>AND(#REF!,"AAAAAHV/f88=")</f>
        <v>#REF!</v>
      </c>
      <c r="HA5" t="e">
        <f>AND(#REF!,"AAAAAHV/f9A=")</f>
        <v>#REF!</v>
      </c>
      <c r="HB5" t="e">
        <f>AND(#REF!,"AAAAAHV/f9E=")</f>
        <v>#REF!</v>
      </c>
      <c r="HC5" t="e">
        <f>AND(#REF!,"AAAAAHV/f9I=")</f>
        <v>#REF!</v>
      </c>
      <c r="HD5" t="e">
        <f>AND(#REF!,"AAAAAHV/f9M=")</f>
        <v>#REF!</v>
      </c>
      <c r="HE5" t="e">
        <f>AND(#REF!,"AAAAAHV/f9Q=")</f>
        <v>#REF!</v>
      </c>
      <c r="HF5" t="e">
        <f>IF(#REF!,"AAAAAHV/f9U=",0)</f>
        <v>#REF!</v>
      </c>
      <c r="HG5" t="e">
        <f>AND(#REF!,"AAAAAHV/f9Y=")</f>
        <v>#REF!</v>
      </c>
      <c r="HH5" t="e">
        <f>AND(#REF!,"AAAAAHV/f9c=")</f>
        <v>#REF!</v>
      </c>
      <c r="HI5" t="e">
        <f>AND(#REF!,"AAAAAHV/f9g=")</f>
        <v>#REF!</v>
      </c>
      <c r="HJ5" t="e">
        <f>AND(#REF!,"AAAAAHV/f9k=")</f>
        <v>#REF!</v>
      </c>
      <c r="HK5" t="e">
        <f>AND(#REF!,"AAAAAHV/f9o=")</f>
        <v>#REF!</v>
      </c>
      <c r="HL5" t="e">
        <f>AND(#REF!,"AAAAAHV/f9s=")</f>
        <v>#REF!</v>
      </c>
      <c r="HM5" t="e">
        <f>AND(#REF!,"AAAAAHV/f9w=")</f>
        <v>#REF!</v>
      </c>
      <c r="HN5" t="e">
        <f>AND(#REF!,"AAAAAHV/f90=")</f>
        <v>#REF!</v>
      </c>
      <c r="HO5" t="e">
        <f>AND(#REF!,"AAAAAHV/f94=")</f>
        <v>#REF!</v>
      </c>
      <c r="HP5" t="e">
        <f>AND(#REF!,"AAAAAHV/f98=")</f>
        <v>#REF!</v>
      </c>
      <c r="HQ5" t="e">
        <f>AND(#REF!,"AAAAAHV/f+A=")</f>
        <v>#REF!</v>
      </c>
      <c r="HR5" t="e">
        <f>AND(#REF!,"AAAAAHV/f+E=")</f>
        <v>#REF!</v>
      </c>
      <c r="HS5" t="e">
        <f>AND(#REF!,"AAAAAHV/f+I=")</f>
        <v>#REF!</v>
      </c>
      <c r="HT5" t="e">
        <f>IF(#REF!,"AAAAAHV/f+M=",0)</f>
        <v>#REF!</v>
      </c>
      <c r="HU5" t="e">
        <f>AND(#REF!,"AAAAAHV/f+Q=")</f>
        <v>#REF!</v>
      </c>
      <c r="HV5" t="e">
        <f>AND(#REF!,"AAAAAHV/f+U=")</f>
        <v>#REF!</v>
      </c>
      <c r="HW5" t="e">
        <f>AND(#REF!,"AAAAAHV/f+Y=")</f>
        <v>#REF!</v>
      </c>
      <c r="HX5" t="e">
        <f>AND(#REF!,"AAAAAHV/f+c=")</f>
        <v>#REF!</v>
      </c>
      <c r="HY5" t="e">
        <f>AND(#REF!,"AAAAAHV/f+g=")</f>
        <v>#REF!</v>
      </c>
      <c r="HZ5" t="e">
        <f>AND(#REF!,"AAAAAHV/f+k=")</f>
        <v>#REF!</v>
      </c>
      <c r="IA5" t="e">
        <f>AND(#REF!,"AAAAAHV/f+o=")</f>
        <v>#REF!</v>
      </c>
      <c r="IB5" t="e">
        <f>AND(#REF!,"AAAAAHV/f+s=")</f>
        <v>#REF!</v>
      </c>
      <c r="IC5" t="e">
        <f>AND(#REF!,"AAAAAHV/f+w=")</f>
        <v>#REF!</v>
      </c>
      <c r="ID5" t="e">
        <f>AND(#REF!,"AAAAAHV/f+0=")</f>
        <v>#REF!</v>
      </c>
      <c r="IE5" t="e">
        <f>AND(#REF!,"AAAAAHV/f+4=")</f>
        <v>#REF!</v>
      </c>
      <c r="IF5" t="e">
        <f>AND(#REF!,"AAAAAHV/f+8=")</f>
        <v>#REF!</v>
      </c>
      <c r="IG5" t="e">
        <f>AND(#REF!,"AAAAAHV/f/A=")</f>
        <v>#REF!</v>
      </c>
      <c r="IH5" t="e">
        <f>IF(#REF!,"AAAAAHV/f/E=",0)</f>
        <v>#REF!</v>
      </c>
      <c r="II5" t="e">
        <f>AND(#REF!,"AAAAAHV/f/I=")</f>
        <v>#REF!</v>
      </c>
      <c r="IJ5" t="e">
        <f>AND(#REF!,"AAAAAHV/f/M=")</f>
        <v>#REF!</v>
      </c>
      <c r="IK5" t="e">
        <f>AND(#REF!,"AAAAAHV/f/Q=")</f>
        <v>#REF!</v>
      </c>
      <c r="IL5" t="e">
        <f>AND(#REF!,"AAAAAHV/f/U=")</f>
        <v>#REF!</v>
      </c>
      <c r="IM5" t="e">
        <f>AND(#REF!,"AAAAAHV/f/Y=")</f>
        <v>#REF!</v>
      </c>
      <c r="IN5" t="e">
        <f>AND(#REF!,"AAAAAHV/f/c=")</f>
        <v>#REF!</v>
      </c>
      <c r="IO5" t="e">
        <f>AND(#REF!,"AAAAAHV/f/g=")</f>
        <v>#REF!</v>
      </c>
      <c r="IP5" t="e">
        <f>AND(#REF!,"AAAAAHV/f/k=")</f>
        <v>#REF!</v>
      </c>
      <c r="IQ5" t="e">
        <f>AND(#REF!,"AAAAAHV/f/o=")</f>
        <v>#REF!</v>
      </c>
      <c r="IR5" t="e">
        <f>AND(#REF!,"AAAAAHV/f/s=")</f>
        <v>#REF!</v>
      </c>
      <c r="IS5" t="e">
        <f>AND(#REF!,"AAAAAHV/f/w=")</f>
        <v>#REF!</v>
      </c>
      <c r="IT5" t="e">
        <f>AND(#REF!,"AAAAAHV/f/0=")</f>
        <v>#REF!</v>
      </c>
      <c r="IU5" t="e">
        <f>AND(#REF!,"AAAAAHV/f/4=")</f>
        <v>#REF!</v>
      </c>
      <c r="IV5" t="e">
        <f>IF(#REF!,"AAAAAHV/f/8=",0)</f>
        <v>#REF!</v>
      </c>
    </row>
    <row r="6" spans="1:256" x14ac:dyDescent="0.2">
      <c r="A6" t="e">
        <f>AND(#REF!,"AAAAAF/nHQA=")</f>
        <v>#REF!</v>
      </c>
      <c r="B6" t="e">
        <f>AND(#REF!,"AAAAAF/nHQE=")</f>
        <v>#REF!</v>
      </c>
      <c r="C6" t="e">
        <f>AND(#REF!,"AAAAAF/nHQI=")</f>
        <v>#REF!</v>
      </c>
      <c r="D6" t="e">
        <f>AND(#REF!,"AAAAAF/nHQM=")</f>
        <v>#REF!</v>
      </c>
      <c r="E6" t="e">
        <f>AND(#REF!,"AAAAAF/nHQQ=")</f>
        <v>#REF!</v>
      </c>
      <c r="F6" t="e">
        <f>AND(#REF!,"AAAAAF/nHQU=")</f>
        <v>#REF!</v>
      </c>
      <c r="G6" t="e">
        <f>AND(#REF!,"AAAAAF/nHQY=")</f>
        <v>#REF!</v>
      </c>
      <c r="H6" t="e">
        <f>AND(#REF!,"AAAAAF/nHQc=")</f>
        <v>#REF!</v>
      </c>
      <c r="I6" t="e">
        <f>AND(#REF!,"AAAAAF/nHQg=")</f>
        <v>#REF!</v>
      </c>
      <c r="J6" t="e">
        <f>AND(#REF!,"AAAAAF/nHQk=")</f>
        <v>#REF!</v>
      </c>
      <c r="K6" t="e">
        <f>AND(#REF!,"AAAAAF/nHQo=")</f>
        <v>#REF!</v>
      </c>
      <c r="L6" t="e">
        <f>AND(#REF!,"AAAAAF/nHQs=")</f>
        <v>#REF!</v>
      </c>
      <c r="M6" t="e">
        <f>AND(#REF!,"AAAAAF/nHQw=")</f>
        <v>#REF!</v>
      </c>
      <c r="N6" t="e">
        <f>IF(#REF!,"AAAAAF/nHQ0=",0)</f>
        <v>#REF!</v>
      </c>
      <c r="O6" t="e">
        <f>AND(#REF!,"AAAAAF/nHQ4=")</f>
        <v>#REF!</v>
      </c>
      <c r="P6" t="e">
        <f>AND(#REF!,"AAAAAF/nHQ8=")</f>
        <v>#REF!</v>
      </c>
      <c r="Q6" t="e">
        <f>AND(#REF!,"AAAAAF/nHRA=")</f>
        <v>#REF!</v>
      </c>
      <c r="R6" t="e">
        <f>AND(#REF!,"AAAAAF/nHRE=")</f>
        <v>#REF!</v>
      </c>
      <c r="S6" t="e">
        <f>AND(#REF!,"AAAAAF/nHRI=")</f>
        <v>#REF!</v>
      </c>
      <c r="T6" t="e">
        <f>AND(#REF!,"AAAAAF/nHRM=")</f>
        <v>#REF!</v>
      </c>
      <c r="U6" t="e">
        <f>AND(#REF!,"AAAAAF/nHRQ=")</f>
        <v>#REF!</v>
      </c>
      <c r="V6" t="e">
        <f>AND(#REF!,"AAAAAF/nHRU=")</f>
        <v>#REF!</v>
      </c>
      <c r="W6" t="e">
        <f>AND(#REF!,"AAAAAF/nHRY=")</f>
        <v>#REF!</v>
      </c>
      <c r="X6" t="e">
        <f>AND(#REF!,"AAAAAF/nHRc=")</f>
        <v>#REF!</v>
      </c>
      <c r="Y6" t="e">
        <f>AND(#REF!,"AAAAAF/nHRg=")</f>
        <v>#REF!</v>
      </c>
      <c r="Z6" t="e">
        <f>AND(#REF!,"AAAAAF/nHRk=")</f>
        <v>#REF!</v>
      </c>
      <c r="AA6" t="e">
        <f>AND(#REF!,"AAAAAF/nHRo=")</f>
        <v>#REF!</v>
      </c>
      <c r="AB6" t="e">
        <f>IF(#REF!,"AAAAAF/nHRs=",0)</f>
        <v>#REF!</v>
      </c>
      <c r="AC6" t="e">
        <f>IF(#REF!,"AAAAAF/nHRw=",0)</f>
        <v>#REF!</v>
      </c>
      <c r="AD6" t="e">
        <f>IF(#REF!,"AAAAAF/nHR0=",0)</f>
        <v>#REF!</v>
      </c>
      <c r="AE6" t="e">
        <f>IF(#REF!,"AAAAAF/nHR4=",0)</f>
        <v>#REF!</v>
      </c>
      <c r="AF6" t="e">
        <f>IF(#REF!,"AAAAAF/nHR8=",0)</f>
        <v>#REF!</v>
      </c>
      <c r="AG6" t="e">
        <f>IF(#REF!,"AAAAAF/nHSA=",0)</f>
        <v>#REF!</v>
      </c>
      <c r="AH6" t="e">
        <f>IF(#REF!,"AAAAAF/nHSE=",0)</f>
        <v>#REF!</v>
      </c>
      <c r="AI6" t="e">
        <f>IF(#REF!,"AAAAAF/nHSI=",0)</f>
        <v>#REF!</v>
      </c>
      <c r="AJ6" t="e">
        <f>IF(#REF!,"AAAAAF/nHSM=",0)</f>
        <v>#REF!</v>
      </c>
      <c r="AK6" t="e">
        <f>IF(#REF!,"AAAAAF/nHSQ=",0)</f>
        <v>#REF!</v>
      </c>
      <c r="AL6" t="e">
        <f>IF(#REF!,"AAAAAF/nHSU=",0)</f>
        <v>#REF!</v>
      </c>
      <c r="AM6" t="e">
        <f>IF(#REF!,"AAAAAF/nHSY=",0)</f>
        <v>#REF!</v>
      </c>
      <c r="AN6" t="e">
        <f>IF(#REF!,"AAAAAF/nHSc=",0)</f>
        <v>#REF!</v>
      </c>
      <c r="AO6" t="e">
        <f>IF(#REF!,"AAAAAF/nHSg=",0)</f>
        <v>#REF!</v>
      </c>
      <c r="AP6" t="e">
        <f>IF(#REF!,"AAAAAF/nHSk=",0)</f>
        <v>#REF!</v>
      </c>
      <c r="AQ6" t="e">
        <f>IF(#REF!,"AAAAAF/nHSo=",0)</f>
        <v>#REF!</v>
      </c>
      <c r="AR6" t="e">
        <f>IF(#REF!,"AAAAAF/nHSs=",0)</f>
        <v>#REF!</v>
      </c>
      <c r="AS6" t="e">
        <f>AND(#REF!,"AAAAAF/nHSw=")</f>
        <v>#REF!</v>
      </c>
      <c r="AT6" t="e">
        <f>AND(#REF!,"AAAAAF/nHS0=")</f>
        <v>#REF!</v>
      </c>
      <c r="AU6" t="e">
        <f>AND(#REF!,"AAAAAF/nHS4=")</f>
        <v>#REF!</v>
      </c>
      <c r="AV6" t="e">
        <f>AND(#REF!,"AAAAAF/nHS8=")</f>
        <v>#REF!</v>
      </c>
      <c r="AW6" t="e">
        <f>AND(#REF!,"AAAAAF/nHTA=")</f>
        <v>#REF!</v>
      </c>
      <c r="AX6" t="e">
        <f>AND(#REF!,"AAAAAF/nHTE=")</f>
        <v>#REF!</v>
      </c>
      <c r="AY6" t="e">
        <f>AND(#REF!,"AAAAAF/nHTI=")</f>
        <v>#REF!</v>
      </c>
      <c r="AZ6" t="e">
        <f>AND(#REF!,"AAAAAF/nHTM=")</f>
        <v>#REF!</v>
      </c>
      <c r="BA6" t="e">
        <f>AND(#REF!,"AAAAAF/nHTQ=")</f>
        <v>#REF!</v>
      </c>
      <c r="BB6" t="e">
        <f>AND(#REF!,"AAAAAF/nHTU=")</f>
        <v>#REF!</v>
      </c>
      <c r="BC6" t="e">
        <f>AND(#REF!,"AAAAAF/nHTY=")</f>
        <v>#REF!</v>
      </c>
      <c r="BD6" t="e">
        <f>AND(#REF!,"AAAAAF/nHTc=")</f>
        <v>#REF!</v>
      </c>
      <c r="BE6" t="e">
        <f>AND(#REF!,"AAAAAF/nHTg=")</f>
        <v>#REF!</v>
      </c>
      <c r="BF6" t="e">
        <f>AND(#REF!,"AAAAAF/nHTk=")</f>
        <v>#REF!</v>
      </c>
      <c r="BG6" t="e">
        <f>AND(#REF!,"AAAAAF/nHTo=")</f>
        <v>#REF!</v>
      </c>
      <c r="BH6" t="e">
        <f>AND(#REF!,"AAAAAF/nHTs=")</f>
        <v>#REF!</v>
      </c>
      <c r="BI6" t="e">
        <f>AND(#REF!,"AAAAAF/nHTw=")</f>
        <v>#REF!</v>
      </c>
      <c r="BJ6" t="e">
        <f>AND(#REF!,"AAAAAF/nHT0=")</f>
        <v>#REF!</v>
      </c>
      <c r="BK6" t="e">
        <f>IF(#REF!,"AAAAAF/nHT4=",0)</f>
        <v>#REF!</v>
      </c>
      <c r="BL6" t="e">
        <f>AND(#REF!,"AAAAAF/nHT8=")</f>
        <v>#REF!</v>
      </c>
      <c r="BM6" t="e">
        <f>AND(#REF!,"AAAAAF/nHUA=")</f>
        <v>#REF!</v>
      </c>
      <c r="BN6" t="e">
        <f>AND(#REF!,"AAAAAF/nHUE=")</f>
        <v>#REF!</v>
      </c>
      <c r="BO6" t="e">
        <f>AND(#REF!,"AAAAAF/nHUI=")</f>
        <v>#REF!</v>
      </c>
      <c r="BP6" t="e">
        <f>AND(#REF!,"AAAAAF/nHUM=")</f>
        <v>#REF!</v>
      </c>
      <c r="BQ6" t="e">
        <f>AND(#REF!,"AAAAAF/nHUQ=")</f>
        <v>#REF!</v>
      </c>
      <c r="BR6" t="e">
        <f>AND(#REF!,"AAAAAF/nHUU=")</f>
        <v>#REF!</v>
      </c>
      <c r="BS6" t="e">
        <f>AND(#REF!,"AAAAAF/nHUY=")</f>
        <v>#REF!</v>
      </c>
      <c r="BT6" t="e">
        <f>AND(#REF!,"AAAAAF/nHUc=")</f>
        <v>#REF!</v>
      </c>
      <c r="BU6" t="e">
        <f>AND(#REF!,"AAAAAF/nHUg=")</f>
        <v>#REF!</v>
      </c>
      <c r="BV6" t="e">
        <f>AND(#REF!,"AAAAAF/nHUk=")</f>
        <v>#REF!</v>
      </c>
      <c r="BW6" t="e">
        <f>AND(#REF!,"AAAAAF/nHUo=")</f>
        <v>#REF!</v>
      </c>
      <c r="BX6" t="e">
        <f>AND(#REF!,"AAAAAF/nHUs=")</f>
        <v>#REF!</v>
      </c>
      <c r="BY6" t="e">
        <f>AND(#REF!,"AAAAAF/nHUw=")</f>
        <v>#REF!</v>
      </c>
      <c r="BZ6" t="e">
        <f>AND(#REF!,"AAAAAF/nHU0=")</f>
        <v>#REF!</v>
      </c>
      <c r="CA6" t="e">
        <f>AND(#REF!,"AAAAAF/nHU4=")</f>
        <v>#REF!</v>
      </c>
      <c r="CB6" t="e">
        <f>AND(#REF!,"AAAAAF/nHU8=")</f>
        <v>#REF!</v>
      </c>
      <c r="CC6" t="e">
        <f>AND(#REF!,"AAAAAF/nHVA=")</f>
        <v>#REF!</v>
      </c>
      <c r="CD6" t="e">
        <f>IF(#REF!,"AAAAAF/nHVE=",0)</f>
        <v>#REF!</v>
      </c>
      <c r="CE6" t="e">
        <f>AND(#REF!,"AAAAAF/nHVI=")</f>
        <v>#REF!</v>
      </c>
      <c r="CF6" t="e">
        <f>AND(#REF!,"AAAAAF/nHVM=")</f>
        <v>#REF!</v>
      </c>
      <c r="CG6" t="e">
        <f>AND(#REF!,"AAAAAF/nHVQ=")</f>
        <v>#REF!</v>
      </c>
      <c r="CH6" t="e">
        <f>AND(#REF!,"AAAAAF/nHVU=")</f>
        <v>#REF!</v>
      </c>
      <c r="CI6" t="e">
        <f>AND(#REF!,"AAAAAF/nHVY=")</f>
        <v>#REF!</v>
      </c>
      <c r="CJ6" t="e">
        <f>AND(#REF!,"AAAAAF/nHVc=")</f>
        <v>#REF!</v>
      </c>
      <c r="CK6" t="e">
        <f>AND(#REF!,"AAAAAF/nHVg=")</f>
        <v>#REF!</v>
      </c>
      <c r="CL6" t="e">
        <f>AND(#REF!,"AAAAAF/nHVk=")</f>
        <v>#REF!</v>
      </c>
      <c r="CM6" t="e">
        <f>AND(#REF!,"AAAAAF/nHVo=")</f>
        <v>#REF!</v>
      </c>
      <c r="CN6" t="e">
        <f>AND(#REF!,"AAAAAF/nHVs=")</f>
        <v>#REF!</v>
      </c>
      <c r="CO6" t="e">
        <f>AND(#REF!,"AAAAAF/nHVw=")</f>
        <v>#REF!</v>
      </c>
      <c r="CP6" t="e">
        <f>AND(#REF!,"AAAAAF/nHV0=")</f>
        <v>#REF!</v>
      </c>
      <c r="CQ6" t="e">
        <f>AND(#REF!,"AAAAAF/nHV4=")</f>
        <v>#REF!</v>
      </c>
      <c r="CR6" t="e">
        <f>AND(#REF!,"AAAAAF/nHV8=")</f>
        <v>#REF!</v>
      </c>
      <c r="CS6" t="e">
        <f>AND(#REF!,"AAAAAF/nHWA=")</f>
        <v>#REF!</v>
      </c>
      <c r="CT6" t="e">
        <f>AND(#REF!,"AAAAAF/nHWE=")</f>
        <v>#REF!</v>
      </c>
      <c r="CU6" t="e">
        <f>AND(#REF!,"AAAAAF/nHWI=")</f>
        <v>#REF!</v>
      </c>
      <c r="CV6" t="e">
        <f>AND(#REF!,"AAAAAF/nHWM=")</f>
        <v>#REF!</v>
      </c>
      <c r="CW6" t="e">
        <f>IF(#REF!,"AAAAAF/nHWQ=",0)</f>
        <v>#REF!</v>
      </c>
      <c r="CX6" t="e">
        <f>AND(#REF!,"AAAAAF/nHWU=")</f>
        <v>#REF!</v>
      </c>
      <c r="CY6" t="e">
        <f>AND(#REF!,"AAAAAF/nHWY=")</f>
        <v>#REF!</v>
      </c>
      <c r="CZ6" t="e">
        <f>AND(#REF!,"AAAAAF/nHWc=")</f>
        <v>#REF!</v>
      </c>
      <c r="DA6" t="e">
        <f>AND(#REF!,"AAAAAF/nHWg=")</f>
        <v>#REF!</v>
      </c>
      <c r="DB6" t="e">
        <f>AND(#REF!,"AAAAAF/nHWk=")</f>
        <v>#REF!</v>
      </c>
      <c r="DC6" t="e">
        <f>AND(#REF!,"AAAAAF/nHWo=")</f>
        <v>#REF!</v>
      </c>
      <c r="DD6" t="e">
        <f>AND(#REF!,"AAAAAF/nHWs=")</f>
        <v>#REF!</v>
      </c>
      <c r="DE6" t="e">
        <f>AND(#REF!,"AAAAAF/nHWw=")</f>
        <v>#REF!</v>
      </c>
      <c r="DF6" t="e">
        <f>AND(#REF!,"AAAAAF/nHW0=")</f>
        <v>#REF!</v>
      </c>
      <c r="DG6" t="e">
        <f>AND(#REF!,"AAAAAF/nHW4=")</f>
        <v>#REF!</v>
      </c>
      <c r="DH6" t="e">
        <f>AND(#REF!,"AAAAAF/nHW8=")</f>
        <v>#REF!</v>
      </c>
      <c r="DI6" t="e">
        <f>AND(#REF!,"AAAAAF/nHXA=")</f>
        <v>#REF!</v>
      </c>
      <c r="DJ6" t="e">
        <f>AND(#REF!,"AAAAAF/nHXE=")</f>
        <v>#REF!</v>
      </c>
      <c r="DK6" t="e">
        <f>AND(#REF!,"AAAAAF/nHXI=")</f>
        <v>#REF!</v>
      </c>
      <c r="DL6" t="e">
        <f>AND(#REF!,"AAAAAF/nHXM=")</f>
        <v>#REF!</v>
      </c>
      <c r="DM6" t="e">
        <f>AND(#REF!,"AAAAAF/nHXQ=")</f>
        <v>#REF!</v>
      </c>
      <c r="DN6" t="e">
        <f>AND(#REF!,"AAAAAF/nHXU=")</f>
        <v>#REF!</v>
      </c>
      <c r="DO6" t="e">
        <f>AND(#REF!,"AAAAAF/nHXY=")</f>
        <v>#REF!</v>
      </c>
      <c r="DP6" t="e">
        <f>IF(#REF!,"AAAAAF/nHXc=",0)</f>
        <v>#REF!</v>
      </c>
      <c r="DQ6" t="e">
        <f>AND(#REF!,"AAAAAF/nHXg=")</f>
        <v>#REF!</v>
      </c>
      <c r="DR6" t="e">
        <f>AND(#REF!,"AAAAAF/nHXk=")</f>
        <v>#REF!</v>
      </c>
      <c r="DS6" t="e">
        <f>AND(#REF!,"AAAAAF/nHXo=")</f>
        <v>#REF!</v>
      </c>
      <c r="DT6" t="e">
        <f>AND(#REF!,"AAAAAF/nHXs=")</f>
        <v>#REF!</v>
      </c>
      <c r="DU6" t="e">
        <f>AND(#REF!,"AAAAAF/nHXw=")</f>
        <v>#REF!</v>
      </c>
      <c r="DV6" t="e">
        <f>AND(#REF!,"AAAAAF/nHX0=")</f>
        <v>#REF!</v>
      </c>
      <c r="DW6" t="e">
        <f>AND(#REF!,"AAAAAF/nHX4=")</f>
        <v>#REF!</v>
      </c>
      <c r="DX6" t="e">
        <f>AND(#REF!,"AAAAAF/nHX8=")</f>
        <v>#REF!</v>
      </c>
      <c r="DY6" t="e">
        <f>AND(#REF!,"AAAAAF/nHYA=")</f>
        <v>#REF!</v>
      </c>
      <c r="DZ6" t="e">
        <f>AND(#REF!,"AAAAAF/nHYE=")</f>
        <v>#REF!</v>
      </c>
      <c r="EA6" t="e">
        <f>AND(#REF!,"AAAAAF/nHYI=")</f>
        <v>#REF!</v>
      </c>
      <c r="EB6" t="e">
        <f>AND(#REF!,"AAAAAF/nHYM=")</f>
        <v>#REF!</v>
      </c>
      <c r="EC6" t="e">
        <f>AND(#REF!,"AAAAAF/nHYQ=")</f>
        <v>#REF!</v>
      </c>
      <c r="ED6" t="e">
        <f>AND(#REF!,"AAAAAF/nHYU=")</f>
        <v>#REF!</v>
      </c>
      <c r="EE6" t="e">
        <f>AND(#REF!,"AAAAAF/nHYY=")</f>
        <v>#REF!</v>
      </c>
      <c r="EF6" t="e">
        <f>AND(#REF!,"AAAAAF/nHYc=")</f>
        <v>#REF!</v>
      </c>
      <c r="EG6" t="e">
        <f>AND(#REF!,"AAAAAF/nHYg=")</f>
        <v>#REF!</v>
      </c>
      <c r="EH6" t="e">
        <f>AND(#REF!,"AAAAAF/nHYk=")</f>
        <v>#REF!</v>
      </c>
      <c r="EI6" t="e">
        <f>IF(#REF!,"AAAAAF/nHYo=",0)</f>
        <v>#REF!</v>
      </c>
      <c r="EJ6" t="e">
        <f>AND(#REF!,"AAAAAF/nHYs=")</f>
        <v>#REF!</v>
      </c>
      <c r="EK6" t="e">
        <f>AND(#REF!,"AAAAAF/nHYw=")</f>
        <v>#REF!</v>
      </c>
      <c r="EL6" t="e">
        <f>AND(#REF!,"AAAAAF/nHY0=")</f>
        <v>#REF!</v>
      </c>
      <c r="EM6" t="e">
        <f>AND(#REF!,"AAAAAF/nHY4=")</f>
        <v>#REF!</v>
      </c>
      <c r="EN6" t="e">
        <f>AND(#REF!,"AAAAAF/nHY8=")</f>
        <v>#REF!</v>
      </c>
      <c r="EO6" t="e">
        <f>AND(#REF!,"AAAAAF/nHZA=")</f>
        <v>#REF!</v>
      </c>
      <c r="EP6" t="e">
        <f>AND(#REF!,"AAAAAF/nHZE=")</f>
        <v>#REF!</v>
      </c>
      <c r="EQ6" t="e">
        <f>AND(#REF!,"AAAAAF/nHZI=")</f>
        <v>#REF!</v>
      </c>
      <c r="ER6" t="e">
        <f>AND(#REF!,"AAAAAF/nHZM=")</f>
        <v>#REF!</v>
      </c>
      <c r="ES6" t="e">
        <f>AND(#REF!,"AAAAAF/nHZQ=")</f>
        <v>#REF!</v>
      </c>
      <c r="ET6" t="e">
        <f>AND(#REF!,"AAAAAF/nHZU=")</f>
        <v>#REF!</v>
      </c>
      <c r="EU6" t="e">
        <f>AND(#REF!,"AAAAAF/nHZY=")</f>
        <v>#REF!</v>
      </c>
      <c r="EV6" t="e">
        <f>AND(#REF!,"AAAAAF/nHZc=")</f>
        <v>#REF!</v>
      </c>
      <c r="EW6" t="e">
        <f>AND(#REF!,"AAAAAF/nHZg=")</f>
        <v>#REF!</v>
      </c>
      <c r="EX6" t="e">
        <f>AND(#REF!,"AAAAAF/nHZk=")</f>
        <v>#REF!</v>
      </c>
      <c r="EY6" t="e">
        <f>AND(#REF!,"AAAAAF/nHZo=")</f>
        <v>#REF!</v>
      </c>
      <c r="EZ6" t="e">
        <f>AND(#REF!,"AAAAAF/nHZs=")</f>
        <v>#REF!</v>
      </c>
      <c r="FA6" t="e">
        <f>AND(#REF!,"AAAAAF/nHZw=")</f>
        <v>#REF!</v>
      </c>
      <c r="FB6" t="e">
        <f>IF(#REF!,"AAAAAF/nHZ0=",0)</f>
        <v>#REF!</v>
      </c>
      <c r="FC6" t="e">
        <f>AND(#REF!,"AAAAAF/nHZ4=")</f>
        <v>#REF!</v>
      </c>
      <c r="FD6" t="e">
        <f>AND(#REF!,"AAAAAF/nHZ8=")</f>
        <v>#REF!</v>
      </c>
      <c r="FE6" t="e">
        <f>AND(#REF!,"AAAAAF/nHaA=")</f>
        <v>#REF!</v>
      </c>
      <c r="FF6" t="e">
        <f>AND(#REF!,"AAAAAF/nHaE=")</f>
        <v>#REF!</v>
      </c>
      <c r="FG6" t="e">
        <f>AND(#REF!,"AAAAAF/nHaI=")</f>
        <v>#REF!</v>
      </c>
      <c r="FH6" t="e">
        <f>AND(#REF!,"AAAAAF/nHaM=")</f>
        <v>#REF!</v>
      </c>
      <c r="FI6" t="e">
        <f>AND(#REF!,"AAAAAF/nHaQ=")</f>
        <v>#REF!</v>
      </c>
      <c r="FJ6" t="e">
        <f>AND(#REF!,"AAAAAF/nHaU=")</f>
        <v>#REF!</v>
      </c>
      <c r="FK6" t="e">
        <f>AND(#REF!,"AAAAAF/nHaY=")</f>
        <v>#REF!</v>
      </c>
      <c r="FL6" t="e">
        <f>AND(#REF!,"AAAAAF/nHac=")</f>
        <v>#REF!</v>
      </c>
      <c r="FM6" t="e">
        <f>AND(#REF!,"AAAAAF/nHag=")</f>
        <v>#REF!</v>
      </c>
      <c r="FN6" t="e">
        <f>AND(#REF!,"AAAAAF/nHak=")</f>
        <v>#REF!</v>
      </c>
      <c r="FO6" t="e">
        <f>AND(#REF!,"AAAAAF/nHao=")</f>
        <v>#REF!</v>
      </c>
      <c r="FP6" t="e">
        <f>AND(#REF!,"AAAAAF/nHas=")</f>
        <v>#REF!</v>
      </c>
      <c r="FQ6" t="e">
        <f>AND(#REF!,"AAAAAF/nHaw=")</f>
        <v>#REF!</v>
      </c>
      <c r="FR6" t="e">
        <f>AND(#REF!,"AAAAAF/nHa0=")</f>
        <v>#REF!</v>
      </c>
      <c r="FS6" t="e">
        <f>AND(#REF!,"AAAAAF/nHa4=")</f>
        <v>#REF!</v>
      </c>
      <c r="FT6" t="e">
        <f>AND(#REF!,"AAAAAF/nHa8=")</f>
        <v>#REF!</v>
      </c>
      <c r="FU6" t="e">
        <f>IF(#REF!,"AAAAAF/nHbA=",0)</f>
        <v>#REF!</v>
      </c>
      <c r="FV6" t="e">
        <f>AND(#REF!,"AAAAAF/nHbE=")</f>
        <v>#REF!</v>
      </c>
      <c r="FW6" t="e">
        <f>AND(#REF!,"AAAAAF/nHbI=")</f>
        <v>#REF!</v>
      </c>
      <c r="FX6" t="e">
        <f>AND(#REF!,"AAAAAF/nHbM=")</f>
        <v>#REF!</v>
      </c>
      <c r="FY6" t="e">
        <f>AND(#REF!,"AAAAAF/nHbQ=")</f>
        <v>#REF!</v>
      </c>
      <c r="FZ6" t="e">
        <f>AND(#REF!,"AAAAAF/nHbU=")</f>
        <v>#REF!</v>
      </c>
      <c r="GA6" t="e">
        <f>AND(#REF!,"AAAAAF/nHbY=")</f>
        <v>#REF!</v>
      </c>
      <c r="GB6" t="e">
        <f>AND(#REF!,"AAAAAF/nHbc=")</f>
        <v>#REF!</v>
      </c>
      <c r="GC6" t="e">
        <f>AND(#REF!,"AAAAAF/nHbg=")</f>
        <v>#REF!</v>
      </c>
      <c r="GD6" t="e">
        <f>AND(#REF!,"AAAAAF/nHbk=")</f>
        <v>#REF!</v>
      </c>
      <c r="GE6" t="e">
        <f>AND(#REF!,"AAAAAF/nHbo=")</f>
        <v>#REF!</v>
      </c>
      <c r="GF6" t="e">
        <f>AND(#REF!,"AAAAAF/nHbs=")</f>
        <v>#REF!</v>
      </c>
      <c r="GG6" t="e">
        <f>AND(#REF!,"AAAAAF/nHbw=")</f>
        <v>#REF!</v>
      </c>
      <c r="GH6" t="e">
        <f>AND(#REF!,"AAAAAF/nHb0=")</f>
        <v>#REF!</v>
      </c>
      <c r="GI6" t="e">
        <f>AND(#REF!,"AAAAAF/nHb4=")</f>
        <v>#REF!</v>
      </c>
      <c r="GJ6" t="e">
        <f>AND(#REF!,"AAAAAF/nHb8=")</f>
        <v>#REF!</v>
      </c>
      <c r="GK6" t="e">
        <f>AND(#REF!,"AAAAAF/nHcA=")</f>
        <v>#REF!</v>
      </c>
      <c r="GL6" t="e">
        <f>AND(#REF!,"AAAAAF/nHcE=")</f>
        <v>#REF!</v>
      </c>
      <c r="GM6" t="e">
        <f>AND(#REF!,"AAAAAF/nHcI=")</f>
        <v>#REF!</v>
      </c>
      <c r="GN6" t="e">
        <f>IF(#REF!,"AAAAAF/nHcM=",0)</f>
        <v>#REF!</v>
      </c>
      <c r="GO6" t="e">
        <f>AND(#REF!,"AAAAAF/nHcQ=")</f>
        <v>#REF!</v>
      </c>
      <c r="GP6" t="e">
        <f>AND(#REF!,"AAAAAF/nHcU=")</f>
        <v>#REF!</v>
      </c>
      <c r="GQ6" t="e">
        <f>AND(#REF!,"AAAAAF/nHcY=")</f>
        <v>#REF!</v>
      </c>
      <c r="GR6" t="e">
        <f>AND(#REF!,"AAAAAF/nHcc=")</f>
        <v>#REF!</v>
      </c>
      <c r="GS6" t="e">
        <f>AND(#REF!,"AAAAAF/nHcg=")</f>
        <v>#REF!</v>
      </c>
      <c r="GT6" t="e">
        <f>AND(#REF!,"AAAAAF/nHck=")</f>
        <v>#REF!</v>
      </c>
      <c r="GU6" t="e">
        <f>AND(#REF!,"AAAAAF/nHco=")</f>
        <v>#REF!</v>
      </c>
      <c r="GV6" t="e">
        <f>AND(#REF!,"AAAAAF/nHcs=")</f>
        <v>#REF!</v>
      </c>
      <c r="GW6" t="e">
        <f>AND(#REF!,"AAAAAF/nHcw=")</f>
        <v>#REF!</v>
      </c>
      <c r="GX6" t="e">
        <f>AND(#REF!,"AAAAAF/nHc0=")</f>
        <v>#REF!</v>
      </c>
      <c r="GY6" t="e">
        <f>AND(#REF!,"AAAAAF/nHc4=")</f>
        <v>#REF!</v>
      </c>
      <c r="GZ6" t="e">
        <f>AND(#REF!,"AAAAAF/nHc8=")</f>
        <v>#REF!</v>
      </c>
      <c r="HA6" t="e">
        <f>AND(#REF!,"AAAAAF/nHdA=")</f>
        <v>#REF!</v>
      </c>
      <c r="HB6" t="e">
        <f>AND(#REF!,"AAAAAF/nHdE=")</f>
        <v>#REF!</v>
      </c>
      <c r="HC6" t="e">
        <f>AND(#REF!,"AAAAAF/nHdI=")</f>
        <v>#REF!</v>
      </c>
      <c r="HD6" t="e">
        <f>AND(#REF!,"AAAAAF/nHdM=")</f>
        <v>#REF!</v>
      </c>
      <c r="HE6" t="e">
        <f>AND(#REF!,"AAAAAF/nHdQ=")</f>
        <v>#REF!</v>
      </c>
      <c r="HF6" t="e">
        <f>AND(#REF!,"AAAAAF/nHdU=")</f>
        <v>#REF!</v>
      </c>
      <c r="HG6" t="e">
        <f>IF(#REF!,"AAAAAF/nHdY=",0)</f>
        <v>#REF!</v>
      </c>
      <c r="HH6" t="e">
        <f>AND(#REF!,"AAAAAF/nHdc=")</f>
        <v>#REF!</v>
      </c>
      <c r="HI6" t="e">
        <f>AND(#REF!,"AAAAAF/nHdg=")</f>
        <v>#REF!</v>
      </c>
      <c r="HJ6" t="e">
        <f>AND(#REF!,"AAAAAF/nHdk=")</f>
        <v>#REF!</v>
      </c>
      <c r="HK6" t="e">
        <f>AND(#REF!,"AAAAAF/nHdo=")</f>
        <v>#REF!</v>
      </c>
      <c r="HL6" t="e">
        <f>AND(#REF!,"AAAAAF/nHds=")</f>
        <v>#REF!</v>
      </c>
      <c r="HM6" t="e">
        <f>AND(#REF!,"AAAAAF/nHdw=")</f>
        <v>#REF!</v>
      </c>
      <c r="HN6" t="e">
        <f>AND(#REF!,"AAAAAF/nHd0=")</f>
        <v>#REF!</v>
      </c>
      <c r="HO6" t="e">
        <f>AND(#REF!,"AAAAAF/nHd4=")</f>
        <v>#REF!</v>
      </c>
      <c r="HP6" t="e">
        <f>AND(#REF!,"AAAAAF/nHd8=")</f>
        <v>#REF!</v>
      </c>
      <c r="HQ6" t="e">
        <f>AND(#REF!,"AAAAAF/nHeA=")</f>
        <v>#REF!</v>
      </c>
      <c r="HR6" t="e">
        <f>AND(#REF!,"AAAAAF/nHeE=")</f>
        <v>#REF!</v>
      </c>
      <c r="HS6" t="e">
        <f>AND(#REF!,"AAAAAF/nHeI=")</f>
        <v>#REF!</v>
      </c>
      <c r="HT6" t="e">
        <f>AND(#REF!,"AAAAAF/nHeM=")</f>
        <v>#REF!</v>
      </c>
      <c r="HU6" t="e">
        <f>AND(#REF!,"AAAAAF/nHeQ=")</f>
        <v>#REF!</v>
      </c>
      <c r="HV6" t="e">
        <f>AND(#REF!,"AAAAAF/nHeU=")</f>
        <v>#REF!</v>
      </c>
      <c r="HW6" t="e">
        <f>AND(#REF!,"AAAAAF/nHeY=")</f>
        <v>#REF!</v>
      </c>
      <c r="HX6" t="e">
        <f>AND(#REF!,"AAAAAF/nHec=")</f>
        <v>#REF!</v>
      </c>
      <c r="HY6" t="e">
        <f>AND(#REF!,"AAAAAF/nHeg=")</f>
        <v>#REF!</v>
      </c>
      <c r="HZ6" t="e">
        <f>IF(#REF!,"AAAAAF/nHek=",0)</f>
        <v>#REF!</v>
      </c>
      <c r="IA6" t="e">
        <f>AND(#REF!,"AAAAAF/nHeo=")</f>
        <v>#REF!</v>
      </c>
      <c r="IB6" t="e">
        <f>AND(#REF!,"AAAAAF/nHes=")</f>
        <v>#REF!</v>
      </c>
      <c r="IC6" t="e">
        <f>AND(#REF!,"AAAAAF/nHew=")</f>
        <v>#REF!</v>
      </c>
      <c r="ID6" t="e">
        <f>AND(#REF!,"AAAAAF/nHe0=")</f>
        <v>#REF!</v>
      </c>
      <c r="IE6" t="e">
        <f>AND(#REF!,"AAAAAF/nHe4=")</f>
        <v>#REF!</v>
      </c>
      <c r="IF6" t="e">
        <f>AND(#REF!,"AAAAAF/nHe8=")</f>
        <v>#REF!</v>
      </c>
      <c r="IG6" t="e">
        <f>AND(#REF!,"AAAAAF/nHfA=")</f>
        <v>#REF!</v>
      </c>
      <c r="IH6" t="e">
        <f>AND(#REF!,"AAAAAF/nHfE=")</f>
        <v>#REF!</v>
      </c>
      <c r="II6" t="e">
        <f>AND(#REF!,"AAAAAF/nHfI=")</f>
        <v>#REF!</v>
      </c>
      <c r="IJ6" t="e">
        <f>AND(#REF!,"AAAAAF/nHfM=")</f>
        <v>#REF!</v>
      </c>
      <c r="IK6" t="e">
        <f>AND(#REF!,"AAAAAF/nHfQ=")</f>
        <v>#REF!</v>
      </c>
      <c r="IL6" t="e">
        <f>AND(#REF!,"AAAAAF/nHfU=")</f>
        <v>#REF!</v>
      </c>
      <c r="IM6" t="e">
        <f>AND(#REF!,"AAAAAF/nHfY=")</f>
        <v>#REF!</v>
      </c>
      <c r="IN6" t="e">
        <f>AND(#REF!,"AAAAAF/nHfc=")</f>
        <v>#REF!</v>
      </c>
      <c r="IO6" t="e">
        <f>AND(#REF!,"AAAAAF/nHfg=")</f>
        <v>#REF!</v>
      </c>
      <c r="IP6" t="e">
        <f>AND(#REF!,"AAAAAF/nHfk=")</f>
        <v>#REF!</v>
      </c>
      <c r="IQ6" t="e">
        <f>AND(#REF!,"AAAAAF/nHfo=")</f>
        <v>#REF!</v>
      </c>
      <c r="IR6" t="e">
        <f>AND(#REF!,"AAAAAF/nHfs=")</f>
        <v>#REF!</v>
      </c>
      <c r="IS6" t="e">
        <f>IF(#REF!,"AAAAAF/nHfw=",0)</f>
        <v>#REF!</v>
      </c>
      <c r="IT6" t="e">
        <f>AND(#REF!,"AAAAAF/nHf0=")</f>
        <v>#REF!</v>
      </c>
      <c r="IU6" t="e">
        <f>AND(#REF!,"AAAAAF/nHf4=")</f>
        <v>#REF!</v>
      </c>
      <c r="IV6" t="e">
        <f>AND(#REF!,"AAAAAF/nHf8=")</f>
        <v>#REF!</v>
      </c>
    </row>
    <row r="7" spans="1:256" x14ac:dyDescent="0.2">
      <c r="A7" t="e">
        <f>AND(#REF!,"AAAAAH3HvAA=")</f>
        <v>#REF!</v>
      </c>
      <c r="B7" t="e">
        <f>AND(#REF!,"AAAAAH3HvAE=")</f>
        <v>#REF!</v>
      </c>
      <c r="C7" t="e">
        <f>AND(#REF!,"AAAAAH3HvAI=")</f>
        <v>#REF!</v>
      </c>
      <c r="D7" t="e">
        <f>AND(#REF!,"AAAAAH3HvAM=")</f>
        <v>#REF!</v>
      </c>
      <c r="E7" t="e">
        <f>AND(#REF!,"AAAAAH3HvAQ=")</f>
        <v>#REF!</v>
      </c>
      <c r="F7" t="e">
        <f>AND(#REF!,"AAAAAH3HvAU=")</f>
        <v>#REF!</v>
      </c>
      <c r="G7" t="e">
        <f>AND(#REF!,"AAAAAH3HvAY=")</f>
        <v>#REF!</v>
      </c>
      <c r="H7" t="e">
        <f>AND(#REF!,"AAAAAH3HvAc=")</f>
        <v>#REF!</v>
      </c>
      <c r="I7" t="e">
        <f>AND(#REF!,"AAAAAH3HvAg=")</f>
        <v>#REF!</v>
      </c>
      <c r="J7" t="e">
        <f>AND(#REF!,"AAAAAH3HvAk=")</f>
        <v>#REF!</v>
      </c>
      <c r="K7" t="e">
        <f>AND(#REF!,"AAAAAH3HvAo=")</f>
        <v>#REF!</v>
      </c>
      <c r="L7" t="e">
        <f>AND(#REF!,"AAAAAH3HvAs=")</f>
        <v>#REF!</v>
      </c>
      <c r="M7" t="e">
        <f>AND(#REF!,"AAAAAH3HvAw=")</f>
        <v>#REF!</v>
      </c>
      <c r="N7" t="e">
        <f>AND(#REF!,"AAAAAH3HvA0=")</f>
        <v>#REF!</v>
      </c>
      <c r="O7" t="e">
        <f>AND(#REF!,"AAAAAH3HvA4=")</f>
        <v>#REF!</v>
      </c>
      <c r="P7" t="e">
        <f>IF(#REF!,"AAAAAH3HvA8=",0)</f>
        <v>#REF!</v>
      </c>
      <c r="Q7" t="e">
        <f>AND(#REF!,"AAAAAH3HvBA=")</f>
        <v>#REF!</v>
      </c>
      <c r="R7" t="e">
        <f>AND(#REF!,"AAAAAH3HvBE=")</f>
        <v>#REF!</v>
      </c>
      <c r="S7" t="e">
        <f>AND(#REF!,"AAAAAH3HvBI=")</f>
        <v>#REF!</v>
      </c>
      <c r="T7" t="e">
        <f>AND(#REF!,"AAAAAH3HvBM=")</f>
        <v>#REF!</v>
      </c>
      <c r="U7" t="e">
        <f>AND(#REF!,"AAAAAH3HvBQ=")</f>
        <v>#REF!</v>
      </c>
      <c r="V7" t="e">
        <f>AND(#REF!,"AAAAAH3HvBU=")</f>
        <v>#REF!</v>
      </c>
      <c r="W7" t="e">
        <f>AND(#REF!,"AAAAAH3HvBY=")</f>
        <v>#REF!</v>
      </c>
      <c r="X7" t="e">
        <f>AND(#REF!,"AAAAAH3HvBc=")</f>
        <v>#REF!</v>
      </c>
      <c r="Y7" t="e">
        <f>AND(#REF!,"AAAAAH3HvBg=")</f>
        <v>#REF!</v>
      </c>
      <c r="Z7" t="e">
        <f>AND(#REF!,"AAAAAH3HvBk=")</f>
        <v>#REF!</v>
      </c>
      <c r="AA7" t="e">
        <f>AND(#REF!,"AAAAAH3HvBo=")</f>
        <v>#REF!</v>
      </c>
      <c r="AB7" t="e">
        <f>AND(#REF!,"AAAAAH3HvBs=")</f>
        <v>#REF!</v>
      </c>
      <c r="AC7" t="e">
        <f>AND(#REF!,"AAAAAH3HvBw=")</f>
        <v>#REF!</v>
      </c>
      <c r="AD7" t="e">
        <f>AND(#REF!,"AAAAAH3HvB0=")</f>
        <v>#REF!</v>
      </c>
      <c r="AE7" t="e">
        <f>AND(#REF!,"AAAAAH3HvB4=")</f>
        <v>#REF!</v>
      </c>
      <c r="AF7" t="e">
        <f>AND(#REF!,"AAAAAH3HvB8=")</f>
        <v>#REF!</v>
      </c>
      <c r="AG7" t="e">
        <f>AND(#REF!,"AAAAAH3HvCA=")</f>
        <v>#REF!</v>
      </c>
      <c r="AH7" t="e">
        <f>AND(#REF!,"AAAAAH3HvCE=")</f>
        <v>#REF!</v>
      </c>
      <c r="AI7" t="e">
        <f>IF(#REF!,"AAAAAH3HvCI=",0)</f>
        <v>#REF!</v>
      </c>
      <c r="AJ7" t="e">
        <f>AND(#REF!,"AAAAAH3HvCM=")</f>
        <v>#REF!</v>
      </c>
      <c r="AK7" t="e">
        <f>AND(#REF!,"AAAAAH3HvCQ=")</f>
        <v>#REF!</v>
      </c>
      <c r="AL7" t="e">
        <f>AND(#REF!,"AAAAAH3HvCU=")</f>
        <v>#REF!</v>
      </c>
      <c r="AM7" t="e">
        <f>AND(#REF!,"AAAAAH3HvCY=")</f>
        <v>#REF!</v>
      </c>
      <c r="AN7" t="e">
        <f>AND(#REF!,"AAAAAH3HvCc=")</f>
        <v>#REF!</v>
      </c>
      <c r="AO7" t="e">
        <f>AND(#REF!,"AAAAAH3HvCg=")</f>
        <v>#REF!</v>
      </c>
      <c r="AP7" t="e">
        <f>AND(#REF!,"AAAAAH3HvCk=")</f>
        <v>#REF!</v>
      </c>
      <c r="AQ7" t="e">
        <f>AND(#REF!,"AAAAAH3HvCo=")</f>
        <v>#REF!</v>
      </c>
      <c r="AR7" t="e">
        <f>AND(#REF!,"AAAAAH3HvCs=")</f>
        <v>#REF!</v>
      </c>
      <c r="AS7" t="e">
        <f>AND(#REF!,"AAAAAH3HvCw=")</f>
        <v>#REF!</v>
      </c>
      <c r="AT7" t="e">
        <f>AND(#REF!,"AAAAAH3HvC0=")</f>
        <v>#REF!</v>
      </c>
      <c r="AU7" t="e">
        <f>AND(#REF!,"AAAAAH3HvC4=")</f>
        <v>#REF!</v>
      </c>
      <c r="AV7" t="e">
        <f>AND(#REF!,"AAAAAH3HvC8=")</f>
        <v>#REF!</v>
      </c>
      <c r="AW7" t="e">
        <f>AND(#REF!,"AAAAAH3HvDA=")</f>
        <v>#REF!</v>
      </c>
      <c r="AX7" t="e">
        <f>AND(#REF!,"AAAAAH3HvDE=")</f>
        <v>#REF!</v>
      </c>
      <c r="AY7" t="e">
        <f>AND(#REF!,"AAAAAH3HvDI=")</f>
        <v>#REF!</v>
      </c>
      <c r="AZ7" t="e">
        <f>AND(#REF!,"AAAAAH3HvDM=")</f>
        <v>#REF!</v>
      </c>
      <c r="BA7" t="e">
        <f>AND(#REF!,"AAAAAH3HvDQ=")</f>
        <v>#REF!</v>
      </c>
      <c r="BB7" t="e">
        <f>IF(#REF!,"AAAAAH3HvDU=",0)</f>
        <v>#REF!</v>
      </c>
      <c r="BC7" t="e">
        <f>AND(#REF!,"AAAAAH3HvDY=")</f>
        <v>#REF!</v>
      </c>
      <c r="BD7" t="e">
        <f>AND(#REF!,"AAAAAH3HvDc=")</f>
        <v>#REF!</v>
      </c>
      <c r="BE7" t="e">
        <f>AND(#REF!,"AAAAAH3HvDg=")</f>
        <v>#REF!</v>
      </c>
      <c r="BF7" t="e">
        <f>AND(#REF!,"AAAAAH3HvDk=")</f>
        <v>#REF!</v>
      </c>
      <c r="BG7" t="e">
        <f>AND(#REF!,"AAAAAH3HvDo=")</f>
        <v>#REF!</v>
      </c>
      <c r="BH7" t="e">
        <f>AND(#REF!,"AAAAAH3HvDs=")</f>
        <v>#REF!</v>
      </c>
      <c r="BI7" t="e">
        <f>AND(#REF!,"AAAAAH3HvDw=")</f>
        <v>#REF!</v>
      </c>
      <c r="BJ7" t="e">
        <f>AND(#REF!,"AAAAAH3HvD0=")</f>
        <v>#REF!</v>
      </c>
      <c r="BK7" t="e">
        <f>AND(#REF!,"AAAAAH3HvD4=")</f>
        <v>#REF!</v>
      </c>
      <c r="BL7" t="e">
        <f>AND(#REF!,"AAAAAH3HvD8=")</f>
        <v>#REF!</v>
      </c>
      <c r="BM7" t="e">
        <f>AND(#REF!,"AAAAAH3HvEA=")</f>
        <v>#REF!</v>
      </c>
      <c r="BN7" t="e">
        <f>AND(#REF!,"AAAAAH3HvEE=")</f>
        <v>#REF!</v>
      </c>
      <c r="BO7" t="e">
        <f>AND(#REF!,"AAAAAH3HvEI=")</f>
        <v>#REF!</v>
      </c>
      <c r="BP7" t="e">
        <f>AND(#REF!,"AAAAAH3HvEM=")</f>
        <v>#REF!</v>
      </c>
      <c r="BQ7" t="e">
        <f>AND(#REF!,"AAAAAH3HvEQ=")</f>
        <v>#REF!</v>
      </c>
      <c r="BR7" t="e">
        <f>AND(#REF!,"AAAAAH3HvEU=")</f>
        <v>#REF!</v>
      </c>
      <c r="BS7" t="e">
        <f>AND(#REF!,"AAAAAH3HvEY=")</f>
        <v>#REF!</v>
      </c>
      <c r="BT7" t="e">
        <f>AND(#REF!,"AAAAAH3HvEc=")</f>
        <v>#REF!</v>
      </c>
      <c r="BU7" t="e">
        <f>IF(#REF!,"AAAAAH3HvEg=",0)</f>
        <v>#REF!</v>
      </c>
      <c r="BV7" t="e">
        <f>AND(#REF!,"AAAAAH3HvEk=")</f>
        <v>#REF!</v>
      </c>
      <c r="BW7" t="e">
        <f>AND(#REF!,"AAAAAH3HvEo=")</f>
        <v>#REF!</v>
      </c>
      <c r="BX7" t="e">
        <f>AND(#REF!,"AAAAAH3HvEs=")</f>
        <v>#REF!</v>
      </c>
      <c r="BY7" t="e">
        <f>AND(#REF!,"AAAAAH3HvEw=")</f>
        <v>#REF!</v>
      </c>
      <c r="BZ7" t="e">
        <f>AND(#REF!,"AAAAAH3HvE0=")</f>
        <v>#REF!</v>
      </c>
      <c r="CA7" t="e">
        <f>AND(#REF!,"AAAAAH3HvE4=")</f>
        <v>#REF!</v>
      </c>
      <c r="CB7" t="e">
        <f>AND(#REF!,"AAAAAH3HvE8=")</f>
        <v>#REF!</v>
      </c>
      <c r="CC7" t="e">
        <f>AND(#REF!,"AAAAAH3HvFA=")</f>
        <v>#REF!</v>
      </c>
      <c r="CD7" t="e">
        <f>IF(#REF!,"AAAAAH3HvFE=",0)</f>
        <v>#REF!</v>
      </c>
      <c r="CE7" t="e">
        <f>AND(#REF!,"AAAAAH3HvFI=")</f>
        <v>#REF!</v>
      </c>
      <c r="CF7" t="e">
        <f>AND(#REF!,"AAAAAH3HvFM=")</f>
        <v>#REF!</v>
      </c>
      <c r="CG7" t="e">
        <f>AND(#REF!,"AAAAAH3HvFQ=")</f>
        <v>#REF!</v>
      </c>
      <c r="CH7" t="e">
        <f>AND(#REF!,"AAAAAH3HvFU=")</f>
        <v>#REF!</v>
      </c>
      <c r="CI7" t="e">
        <f>AND(#REF!,"AAAAAH3HvFY=")</f>
        <v>#REF!</v>
      </c>
      <c r="CJ7" t="e">
        <f>AND(#REF!,"AAAAAH3HvFc=")</f>
        <v>#REF!</v>
      </c>
      <c r="CK7" t="e">
        <f>AND(#REF!,"AAAAAH3HvFg=")</f>
        <v>#REF!</v>
      </c>
      <c r="CL7" t="e">
        <f>AND(#REF!,"AAAAAH3HvFk=")</f>
        <v>#REF!</v>
      </c>
      <c r="CM7" t="e">
        <f>IF(#REF!,"AAAAAH3HvFo=",0)</f>
        <v>#REF!</v>
      </c>
      <c r="CN7" t="e">
        <f>AND(#REF!,"AAAAAH3HvFs=")</f>
        <v>#REF!</v>
      </c>
      <c r="CO7" t="e">
        <f>AND(#REF!,"AAAAAH3HvFw=")</f>
        <v>#REF!</v>
      </c>
      <c r="CP7" t="e">
        <f>AND(#REF!,"AAAAAH3HvF0=")</f>
        <v>#REF!</v>
      </c>
      <c r="CQ7" t="e">
        <f>AND(#REF!,"AAAAAH3HvF4=")</f>
        <v>#REF!</v>
      </c>
      <c r="CR7" t="e">
        <f>AND(#REF!,"AAAAAH3HvF8=")</f>
        <v>#REF!</v>
      </c>
      <c r="CS7" t="e">
        <f>AND(#REF!,"AAAAAH3HvGA=")</f>
        <v>#REF!</v>
      </c>
      <c r="CT7" t="e">
        <f>AND(#REF!,"AAAAAH3HvGE=")</f>
        <v>#REF!</v>
      </c>
      <c r="CU7" t="e">
        <f>AND(#REF!,"AAAAAH3HvGI=")</f>
        <v>#REF!</v>
      </c>
      <c r="CV7" t="e">
        <f>IF(#REF!,"AAAAAH3HvGM=",0)</f>
        <v>#REF!</v>
      </c>
      <c r="CW7" t="e">
        <f>AND(#REF!,"AAAAAH3HvGQ=")</f>
        <v>#REF!</v>
      </c>
      <c r="CX7" t="e">
        <f>AND(#REF!,"AAAAAH3HvGU=")</f>
        <v>#REF!</v>
      </c>
      <c r="CY7" t="e">
        <f>AND(#REF!,"AAAAAH3HvGY=")</f>
        <v>#REF!</v>
      </c>
      <c r="CZ7" t="e">
        <f>AND(#REF!,"AAAAAH3HvGc=")</f>
        <v>#REF!</v>
      </c>
      <c r="DA7" t="e">
        <f>AND(#REF!,"AAAAAH3HvGg=")</f>
        <v>#REF!</v>
      </c>
      <c r="DB7" t="e">
        <f>AND(#REF!,"AAAAAH3HvGk=")</f>
        <v>#REF!</v>
      </c>
      <c r="DC7" t="e">
        <f>AND(#REF!,"AAAAAH3HvGo=")</f>
        <v>#REF!</v>
      </c>
      <c r="DD7" t="e">
        <f>AND(#REF!,"AAAAAH3HvGs=")</f>
        <v>#REF!</v>
      </c>
      <c r="DE7" t="e">
        <f>IF(#REF!,"AAAAAH3HvGw=",0)</f>
        <v>#REF!</v>
      </c>
      <c r="DF7" t="e">
        <f>AND(#REF!,"AAAAAH3HvG0=")</f>
        <v>#REF!</v>
      </c>
      <c r="DG7" t="e">
        <f>AND(#REF!,"AAAAAH3HvG4=")</f>
        <v>#REF!</v>
      </c>
      <c r="DH7" t="e">
        <f>AND(#REF!,"AAAAAH3HvG8=")</f>
        <v>#REF!</v>
      </c>
      <c r="DI7" t="e">
        <f>AND(#REF!,"AAAAAH3HvHA=")</f>
        <v>#REF!</v>
      </c>
      <c r="DJ7" t="e">
        <f>AND(#REF!,"AAAAAH3HvHE=")</f>
        <v>#REF!</v>
      </c>
      <c r="DK7" t="e">
        <f>AND(#REF!,"AAAAAH3HvHI=")</f>
        <v>#REF!</v>
      </c>
      <c r="DL7" t="e">
        <f>AND(#REF!,"AAAAAH3HvHM=")</f>
        <v>#REF!</v>
      </c>
      <c r="DM7" t="e">
        <f>AND(#REF!,"AAAAAH3HvHQ=")</f>
        <v>#REF!</v>
      </c>
      <c r="DN7" t="e">
        <f>IF(#REF!,"AAAAAH3HvHU=",0)</f>
        <v>#REF!</v>
      </c>
      <c r="DO7" t="e">
        <f>AND(#REF!,"AAAAAH3HvHY=")</f>
        <v>#REF!</v>
      </c>
      <c r="DP7" t="e">
        <f>AND(#REF!,"AAAAAH3HvHc=")</f>
        <v>#REF!</v>
      </c>
      <c r="DQ7" t="e">
        <f>AND(#REF!,"AAAAAH3HvHg=")</f>
        <v>#REF!</v>
      </c>
      <c r="DR7" t="e">
        <f>AND(#REF!,"AAAAAH3HvHk=")</f>
        <v>#REF!</v>
      </c>
      <c r="DS7" t="e">
        <f>AND(#REF!,"AAAAAH3HvHo=")</f>
        <v>#REF!</v>
      </c>
      <c r="DT7" t="e">
        <f>AND(#REF!,"AAAAAH3HvHs=")</f>
        <v>#REF!</v>
      </c>
      <c r="DU7" t="e">
        <f>AND(#REF!,"AAAAAH3HvHw=")</f>
        <v>#REF!</v>
      </c>
      <c r="DV7" t="e">
        <f>AND(#REF!,"AAAAAH3HvH0=")</f>
        <v>#REF!</v>
      </c>
      <c r="DW7" t="e">
        <f>IF(#REF!,"AAAAAH3HvH4=",0)</f>
        <v>#REF!</v>
      </c>
      <c r="DX7" t="e">
        <f>AND(#REF!,"AAAAAH3HvH8=")</f>
        <v>#REF!</v>
      </c>
      <c r="DY7" t="e">
        <f>AND(#REF!,"AAAAAH3HvIA=")</f>
        <v>#REF!</v>
      </c>
      <c r="DZ7" t="e">
        <f>AND(#REF!,"AAAAAH3HvIE=")</f>
        <v>#REF!</v>
      </c>
      <c r="EA7" t="e">
        <f>AND(#REF!,"AAAAAH3HvII=")</f>
        <v>#REF!</v>
      </c>
      <c r="EB7" t="e">
        <f>AND(#REF!,"AAAAAH3HvIM=")</f>
        <v>#REF!</v>
      </c>
      <c r="EC7" t="e">
        <f>AND(#REF!,"AAAAAH3HvIQ=")</f>
        <v>#REF!</v>
      </c>
      <c r="ED7" t="e">
        <f>AND(#REF!,"AAAAAH3HvIU=")</f>
        <v>#REF!</v>
      </c>
      <c r="EE7" t="e">
        <f>AND(#REF!,"AAAAAH3HvIY=")</f>
        <v>#REF!</v>
      </c>
      <c r="EF7" t="e">
        <f>IF(#REF!,"AAAAAH3HvIc=",0)</f>
        <v>#REF!</v>
      </c>
      <c r="EG7" t="e">
        <f>AND(#REF!,"AAAAAH3HvIg=")</f>
        <v>#REF!</v>
      </c>
      <c r="EH7" t="e">
        <f>AND(#REF!,"AAAAAH3HvIk=")</f>
        <v>#REF!</v>
      </c>
      <c r="EI7" t="e">
        <f>AND(#REF!,"AAAAAH3HvIo=")</f>
        <v>#REF!</v>
      </c>
      <c r="EJ7" t="e">
        <f>AND(#REF!,"AAAAAH3HvIs=")</f>
        <v>#REF!</v>
      </c>
      <c r="EK7" t="e">
        <f>AND(#REF!,"AAAAAH3HvIw=")</f>
        <v>#REF!</v>
      </c>
      <c r="EL7" t="e">
        <f>AND(#REF!,"AAAAAH3HvI0=")</f>
        <v>#REF!</v>
      </c>
      <c r="EM7" t="e">
        <f>AND(#REF!,"AAAAAH3HvI4=")</f>
        <v>#REF!</v>
      </c>
      <c r="EN7" t="e">
        <f>AND(#REF!,"AAAAAH3HvI8=")</f>
        <v>#REF!</v>
      </c>
      <c r="EO7" t="e">
        <f>IF(#REF!,"AAAAAH3HvJA=",0)</f>
        <v>#REF!</v>
      </c>
      <c r="EP7" t="e">
        <f>AND(#REF!,"AAAAAH3HvJE=")</f>
        <v>#REF!</v>
      </c>
      <c r="EQ7" t="e">
        <f>AND(#REF!,"AAAAAH3HvJI=")</f>
        <v>#REF!</v>
      </c>
      <c r="ER7" t="e">
        <f>AND(#REF!,"AAAAAH3HvJM=")</f>
        <v>#REF!</v>
      </c>
      <c r="ES7" t="e">
        <f>AND(#REF!,"AAAAAH3HvJQ=")</f>
        <v>#REF!</v>
      </c>
      <c r="ET7" t="e">
        <f>AND(#REF!,"AAAAAH3HvJU=")</f>
        <v>#REF!</v>
      </c>
      <c r="EU7" t="e">
        <f>AND(#REF!,"AAAAAH3HvJY=")</f>
        <v>#REF!</v>
      </c>
      <c r="EV7" t="e">
        <f>AND(#REF!,"AAAAAH3HvJc=")</f>
        <v>#REF!</v>
      </c>
      <c r="EW7" t="e">
        <f>AND(#REF!,"AAAAAH3HvJg=")</f>
        <v>#REF!</v>
      </c>
      <c r="EX7" t="e">
        <f>IF(#REF!,"AAAAAH3HvJk=",0)</f>
        <v>#REF!</v>
      </c>
      <c r="EY7" t="e">
        <f>AND(#REF!,"AAAAAH3HvJo=")</f>
        <v>#REF!</v>
      </c>
      <c r="EZ7" t="e">
        <f>AND(#REF!,"AAAAAH3HvJs=")</f>
        <v>#REF!</v>
      </c>
      <c r="FA7" t="e">
        <f>AND(#REF!,"AAAAAH3HvJw=")</f>
        <v>#REF!</v>
      </c>
      <c r="FB7" t="e">
        <f>AND(#REF!,"AAAAAH3HvJ0=")</f>
        <v>#REF!</v>
      </c>
      <c r="FC7" t="e">
        <f>AND(#REF!,"AAAAAH3HvJ4=")</f>
        <v>#REF!</v>
      </c>
      <c r="FD7" t="e">
        <f>AND(#REF!,"AAAAAH3HvJ8=")</f>
        <v>#REF!</v>
      </c>
      <c r="FE7" t="e">
        <f>AND(#REF!,"AAAAAH3HvKA=")</f>
        <v>#REF!</v>
      </c>
      <c r="FF7" t="e">
        <f>AND(#REF!,"AAAAAH3HvKE=")</f>
        <v>#REF!</v>
      </c>
      <c r="FG7" t="e">
        <f>IF(#REF!,"AAAAAH3HvKI=",0)</f>
        <v>#REF!</v>
      </c>
      <c r="FH7" t="e">
        <f>AND(#REF!,"AAAAAH3HvKM=")</f>
        <v>#REF!</v>
      </c>
      <c r="FI7" t="e">
        <f>AND(#REF!,"AAAAAH3HvKQ=")</f>
        <v>#REF!</v>
      </c>
      <c r="FJ7" t="e">
        <f>AND(#REF!,"AAAAAH3HvKU=")</f>
        <v>#REF!</v>
      </c>
      <c r="FK7" t="e">
        <f>AND(#REF!,"AAAAAH3HvKY=")</f>
        <v>#REF!</v>
      </c>
      <c r="FL7" t="e">
        <f>AND(#REF!,"AAAAAH3HvKc=")</f>
        <v>#REF!</v>
      </c>
      <c r="FM7" t="e">
        <f>AND(#REF!,"AAAAAH3HvKg=")</f>
        <v>#REF!</v>
      </c>
      <c r="FN7" t="e">
        <f>AND(#REF!,"AAAAAH3HvKk=")</f>
        <v>#REF!</v>
      </c>
      <c r="FO7" t="e">
        <f>AND(#REF!,"AAAAAH3HvKo=")</f>
        <v>#REF!</v>
      </c>
      <c r="FP7" t="e">
        <f>IF(#REF!,"AAAAAH3HvKs=",0)</f>
        <v>#REF!</v>
      </c>
      <c r="FQ7" t="e">
        <f>AND(#REF!,"AAAAAH3HvKw=")</f>
        <v>#REF!</v>
      </c>
      <c r="FR7" t="e">
        <f>AND(#REF!,"AAAAAH3HvK0=")</f>
        <v>#REF!</v>
      </c>
      <c r="FS7" t="e">
        <f>AND(#REF!,"AAAAAH3HvK4=")</f>
        <v>#REF!</v>
      </c>
      <c r="FT7" t="e">
        <f>AND(#REF!,"AAAAAH3HvK8=")</f>
        <v>#REF!</v>
      </c>
      <c r="FU7" t="e">
        <f>AND(#REF!,"AAAAAH3HvLA=")</f>
        <v>#REF!</v>
      </c>
      <c r="FV7" t="e">
        <f>AND(#REF!,"AAAAAH3HvLE=")</f>
        <v>#REF!</v>
      </c>
      <c r="FW7" t="e">
        <f>AND(#REF!,"AAAAAH3HvLI=")</f>
        <v>#REF!</v>
      </c>
      <c r="FX7" t="e">
        <f>AND(#REF!,"AAAAAH3HvLM=")</f>
        <v>#REF!</v>
      </c>
      <c r="FY7" t="e">
        <f>IF(#REF!,"AAAAAH3HvLQ=",0)</f>
        <v>#REF!</v>
      </c>
      <c r="FZ7" t="e">
        <f>AND(#REF!,"AAAAAH3HvLU=")</f>
        <v>#REF!</v>
      </c>
      <c r="GA7" t="e">
        <f>AND(#REF!,"AAAAAH3HvLY=")</f>
        <v>#REF!</v>
      </c>
      <c r="GB7" t="e">
        <f>AND(#REF!,"AAAAAH3HvLc=")</f>
        <v>#REF!</v>
      </c>
      <c r="GC7" t="e">
        <f>AND(#REF!,"AAAAAH3HvLg=")</f>
        <v>#REF!</v>
      </c>
      <c r="GD7" t="e">
        <f>AND(#REF!,"AAAAAH3HvLk=")</f>
        <v>#REF!</v>
      </c>
      <c r="GE7" t="e">
        <f>AND(#REF!,"AAAAAH3HvLo=")</f>
        <v>#REF!</v>
      </c>
      <c r="GF7" t="e">
        <f>AND(#REF!,"AAAAAH3HvLs=")</f>
        <v>#REF!</v>
      </c>
      <c r="GG7" t="e">
        <f>AND(#REF!,"AAAAAH3HvLw=")</f>
        <v>#REF!</v>
      </c>
      <c r="GH7" t="e">
        <f>IF(#REF!,"AAAAAH3HvL0=",0)</f>
        <v>#REF!</v>
      </c>
      <c r="GI7" t="e">
        <f>AND(#REF!,"AAAAAH3HvL4=")</f>
        <v>#REF!</v>
      </c>
      <c r="GJ7" t="e">
        <f>AND(#REF!,"AAAAAH3HvL8=")</f>
        <v>#REF!</v>
      </c>
      <c r="GK7" t="e">
        <f>AND(#REF!,"AAAAAH3HvMA=")</f>
        <v>#REF!</v>
      </c>
      <c r="GL7" t="e">
        <f>AND(#REF!,"AAAAAH3HvME=")</f>
        <v>#REF!</v>
      </c>
      <c r="GM7" t="e">
        <f>AND(#REF!,"AAAAAH3HvMI=")</f>
        <v>#REF!</v>
      </c>
      <c r="GN7" t="e">
        <f>AND(#REF!,"AAAAAH3HvMM=")</f>
        <v>#REF!</v>
      </c>
      <c r="GO7" t="e">
        <f>AND(#REF!,"AAAAAH3HvMQ=")</f>
        <v>#REF!</v>
      </c>
      <c r="GP7" t="e">
        <f>AND(#REF!,"AAAAAH3HvMU=")</f>
        <v>#REF!</v>
      </c>
      <c r="GQ7" t="e">
        <f>IF(#REF!,"AAAAAH3HvMY=",0)</f>
        <v>#REF!</v>
      </c>
      <c r="GR7" t="e">
        <f>AND(#REF!,"AAAAAH3HvMc=")</f>
        <v>#REF!</v>
      </c>
      <c r="GS7" t="e">
        <f>AND(#REF!,"AAAAAH3HvMg=")</f>
        <v>#REF!</v>
      </c>
      <c r="GT7" t="e">
        <f>AND(#REF!,"AAAAAH3HvMk=")</f>
        <v>#REF!</v>
      </c>
      <c r="GU7" t="e">
        <f>AND(#REF!,"AAAAAH3HvMo=")</f>
        <v>#REF!</v>
      </c>
      <c r="GV7" t="e">
        <f>AND(#REF!,"AAAAAH3HvMs=")</f>
        <v>#REF!</v>
      </c>
      <c r="GW7" t="e">
        <f>AND(#REF!,"AAAAAH3HvMw=")</f>
        <v>#REF!</v>
      </c>
      <c r="GX7" t="e">
        <f>AND(#REF!,"AAAAAH3HvM0=")</f>
        <v>#REF!</v>
      </c>
      <c r="GY7" t="e">
        <f>AND(#REF!,"AAAAAH3HvM4=")</f>
        <v>#REF!</v>
      </c>
      <c r="GZ7" t="e">
        <f>IF(#REF!,"AAAAAH3HvM8=",0)</f>
        <v>#REF!</v>
      </c>
      <c r="HA7" t="e">
        <f>AND(#REF!,"AAAAAH3HvNA=")</f>
        <v>#REF!</v>
      </c>
      <c r="HB7" t="e">
        <f>AND(#REF!,"AAAAAH3HvNE=")</f>
        <v>#REF!</v>
      </c>
      <c r="HC7" t="e">
        <f>AND(#REF!,"AAAAAH3HvNI=")</f>
        <v>#REF!</v>
      </c>
      <c r="HD7" t="e">
        <f>AND(#REF!,"AAAAAH3HvNM=")</f>
        <v>#REF!</v>
      </c>
      <c r="HE7" t="e">
        <f>AND(#REF!,"AAAAAH3HvNQ=")</f>
        <v>#REF!</v>
      </c>
      <c r="HF7" t="e">
        <f>AND(#REF!,"AAAAAH3HvNU=")</f>
        <v>#REF!</v>
      </c>
      <c r="HG7" t="e">
        <f>AND(#REF!,"AAAAAH3HvNY=")</f>
        <v>#REF!</v>
      </c>
      <c r="HH7" t="e">
        <f>AND(#REF!,"AAAAAH3HvNc=")</f>
        <v>#REF!</v>
      </c>
      <c r="HI7" t="e">
        <f>IF(#REF!,"AAAAAH3HvNg=",0)</f>
        <v>#REF!</v>
      </c>
      <c r="HJ7" t="e">
        <f>AND(#REF!,"AAAAAH3HvNk=")</f>
        <v>#REF!</v>
      </c>
      <c r="HK7" t="e">
        <f>AND(#REF!,"AAAAAH3HvNo=")</f>
        <v>#REF!</v>
      </c>
      <c r="HL7" t="e">
        <f>AND(#REF!,"AAAAAH3HvNs=")</f>
        <v>#REF!</v>
      </c>
      <c r="HM7" t="e">
        <f>AND(#REF!,"AAAAAH3HvNw=")</f>
        <v>#REF!</v>
      </c>
      <c r="HN7" t="e">
        <f>AND(#REF!,"AAAAAH3HvN0=")</f>
        <v>#REF!</v>
      </c>
      <c r="HO7" t="e">
        <f>AND(#REF!,"AAAAAH3HvN4=")</f>
        <v>#REF!</v>
      </c>
      <c r="HP7" t="e">
        <f>AND(#REF!,"AAAAAH3HvN8=")</f>
        <v>#REF!</v>
      </c>
      <c r="HQ7" t="e">
        <f>AND(#REF!,"AAAAAH3HvOA=")</f>
        <v>#REF!</v>
      </c>
      <c r="HR7" t="e">
        <f>IF(#REF!,"AAAAAH3HvOE=",0)</f>
        <v>#REF!</v>
      </c>
      <c r="HS7" t="e">
        <f>AND(#REF!,"AAAAAH3HvOI=")</f>
        <v>#REF!</v>
      </c>
      <c r="HT7" t="e">
        <f>AND(#REF!,"AAAAAH3HvOM=")</f>
        <v>#REF!</v>
      </c>
      <c r="HU7" t="e">
        <f>AND(#REF!,"AAAAAH3HvOQ=")</f>
        <v>#REF!</v>
      </c>
      <c r="HV7" t="e">
        <f>AND(#REF!,"AAAAAH3HvOU=")</f>
        <v>#REF!</v>
      </c>
      <c r="HW7" t="e">
        <f>AND(#REF!,"AAAAAH3HvOY=")</f>
        <v>#REF!</v>
      </c>
      <c r="HX7" t="e">
        <f>AND(#REF!,"AAAAAH3HvOc=")</f>
        <v>#REF!</v>
      </c>
      <c r="HY7" t="e">
        <f>AND(#REF!,"AAAAAH3HvOg=")</f>
        <v>#REF!</v>
      </c>
      <c r="HZ7" t="e">
        <f>AND(#REF!,"AAAAAH3HvOk=")</f>
        <v>#REF!</v>
      </c>
      <c r="IA7" t="e">
        <f>IF(#REF!,"AAAAAH3HvOo=",0)</f>
        <v>#REF!</v>
      </c>
      <c r="IB7" t="e">
        <f>AND(#REF!,"AAAAAH3HvOs=")</f>
        <v>#REF!</v>
      </c>
      <c r="IC7" t="e">
        <f>AND(#REF!,"AAAAAH3HvOw=")</f>
        <v>#REF!</v>
      </c>
      <c r="ID7" t="e">
        <f>AND(#REF!,"AAAAAH3HvO0=")</f>
        <v>#REF!</v>
      </c>
      <c r="IE7" t="e">
        <f>AND(#REF!,"AAAAAH3HvO4=")</f>
        <v>#REF!</v>
      </c>
      <c r="IF7" t="e">
        <f>AND(#REF!,"AAAAAH3HvO8=")</f>
        <v>#REF!</v>
      </c>
      <c r="IG7" t="e">
        <f>AND(#REF!,"AAAAAH3HvPA=")</f>
        <v>#REF!</v>
      </c>
      <c r="IH7" t="e">
        <f>AND(#REF!,"AAAAAH3HvPE=")</f>
        <v>#REF!</v>
      </c>
      <c r="II7" t="e">
        <f>AND(#REF!,"AAAAAH3HvPI=")</f>
        <v>#REF!</v>
      </c>
      <c r="IJ7" t="e">
        <f>IF(#REF!,"AAAAAH3HvPM=",0)</f>
        <v>#REF!</v>
      </c>
      <c r="IK7" t="e">
        <f>AND(#REF!,"AAAAAH3HvPQ=")</f>
        <v>#REF!</v>
      </c>
      <c r="IL7" t="e">
        <f>AND(#REF!,"AAAAAH3HvPU=")</f>
        <v>#REF!</v>
      </c>
      <c r="IM7" t="e">
        <f>AND(#REF!,"AAAAAH3HvPY=")</f>
        <v>#REF!</v>
      </c>
      <c r="IN7" t="e">
        <f>AND(#REF!,"AAAAAH3HvPc=")</f>
        <v>#REF!</v>
      </c>
      <c r="IO7" t="e">
        <f>AND(#REF!,"AAAAAH3HvPg=")</f>
        <v>#REF!</v>
      </c>
      <c r="IP7" t="e">
        <f>AND(#REF!,"AAAAAH3HvPk=")</f>
        <v>#REF!</v>
      </c>
      <c r="IQ7" t="e">
        <f>AND(#REF!,"AAAAAH3HvPo=")</f>
        <v>#REF!</v>
      </c>
      <c r="IR7" t="e">
        <f>AND(#REF!,"AAAAAH3HvPs=")</f>
        <v>#REF!</v>
      </c>
      <c r="IS7" t="e">
        <f>IF(#REF!,"AAAAAH3HvPw=",0)</f>
        <v>#REF!</v>
      </c>
      <c r="IT7" t="e">
        <f>AND(#REF!,"AAAAAH3HvP0=")</f>
        <v>#REF!</v>
      </c>
      <c r="IU7" t="e">
        <f>AND(#REF!,"AAAAAH3HvP4=")</f>
        <v>#REF!</v>
      </c>
      <c r="IV7" t="e">
        <f>AND(#REF!,"AAAAAH3HvP8=")</f>
        <v>#REF!</v>
      </c>
    </row>
    <row r="8" spans="1:256" x14ac:dyDescent="0.2">
      <c r="A8" t="e">
        <f>AND(#REF!,"AAAAAH7qfQA=")</f>
        <v>#REF!</v>
      </c>
      <c r="B8" t="e">
        <f>AND(#REF!,"AAAAAH7qfQE=")</f>
        <v>#REF!</v>
      </c>
      <c r="C8" t="e">
        <f>AND(#REF!,"AAAAAH7qfQI=")</f>
        <v>#REF!</v>
      </c>
      <c r="D8" t="e">
        <f>AND(#REF!,"AAAAAH7qfQM=")</f>
        <v>#REF!</v>
      </c>
      <c r="E8" t="e">
        <f>AND(#REF!,"AAAAAH7qfQQ=")</f>
        <v>#REF!</v>
      </c>
      <c r="F8" t="e">
        <f>IF(#REF!,"AAAAAH7qfQU=",0)</f>
        <v>#REF!</v>
      </c>
      <c r="G8" t="e">
        <f>AND(#REF!,"AAAAAH7qfQY=")</f>
        <v>#REF!</v>
      </c>
      <c r="H8" t="e">
        <f>AND(#REF!,"AAAAAH7qfQc=")</f>
        <v>#REF!</v>
      </c>
      <c r="I8" t="e">
        <f>AND(#REF!,"AAAAAH7qfQg=")</f>
        <v>#REF!</v>
      </c>
      <c r="J8" t="e">
        <f>AND(#REF!,"AAAAAH7qfQk=")</f>
        <v>#REF!</v>
      </c>
      <c r="K8" t="e">
        <f>AND(#REF!,"AAAAAH7qfQo=")</f>
        <v>#REF!</v>
      </c>
      <c r="L8" t="e">
        <f>AND(#REF!,"AAAAAH7qfQs=")</f>
        <v>#REF!</v>
      </c>
      <c r="M8" t="e">
        <f>AND(#REF!,"AAAAAH7qfQw=")</f>
        <v>#REF!</v>
      </c>
      <c r="N8" t="e">
        <f>AND(#REF!,"AAAAAH7qfQ0=")</f>
        <v>#REF!</v>
      </c>
      <c r="O8" t="e">
        <f>IF(#REF!,"AAAAAH7qfQ4=",0)</f>
        <v>#REF!</v>
      </c>
      <c r="P8" t="e">
        <f>AND(#REF!,"AAAAAH7qfQ8=")</f>
        <v>#REF!</v>
      </c>
      <c r="Q8" t="e">
        <f>AND(#REF!,"AAAAAH7qfRA=")</f>
        <v>#REF!</v>
      </c>
      <c r="R8" t="e">
        <f>AND(#REF!,"AAAAAH7qfRE=")</f>
        <v>#REF!</v>
      </c>
      <c r="S8" t="e">
        <f>AND(#REF!,"AAAAAH7qfRI=")</f>
        <v>#REF!</v>
      </c>
      <c r="T8" t="e">
        <f>AND(#REF!,"AAAAAH7qfRM=")</f>
        <v>#REF!</v>
      </c>
      <c r="U8" t="e">
        <f>AND(#REF!,"AAAAAH7qfRQ=")</f>
        <v>#REF!</v>
      </c>
      <c r="V8" t="e">
        <f>AND(#REF!,"AAAAAH7qfRU=")</f>
        <v>#REF!</v>
      </c>
      <c r="W8" t="e">
        <f>AND(#REF!,"AAAAAH7qfRY=")</f>
        <v>#REF!</v>
      </c>
      <c r="X8" t="e">
        <f>IF(#REF!,"AAAAAH7qfRc=",0)</f>
        <v>#REF!</v>
      </c>
      <c r="Y8" t="e">
        <f>AND(#REF!,"AAAAAH7qfRg=")</f>
        <v>#REF!</v>
      </c>
      <c r="Z8" t="e">
        <f>AND(#REF!,"AAAAAH7qfRk=")</f>
        <v>#REF!</v>
      </c>
      <c r="AA8" t="e">
        <f>AND(#REF!,"AAAAAH7qfRo=")</f>
        <v>#REF!</v>
      </c>
      <c r="AB8" t="e">
        <f>AND(#REF!,"AAAAAH7qfRs=")</f>
        <v>#REF!</v>
      </c>
      <c r="AC8" t="e">
        <f>AND(#REF!,"AAAAAH7qfRw=")</f>
        <v>#REF!</v>
      </c>
      <c r="AD8" t="e">
        <f>AND(#REF!,"AAAAAH7qfR0=")</f>
        <v>#REF!</v>
      </c>
      <c r="AE8" t="e">
        <f>AND(#REF!,"AAAAAH7qfR4=")</f>
        <v>#REF!</v>
      </c>
      <c r="AF8" t="e">
        <f>AND(#REF!,"AAAAAH7qfR8=")</f>
        <v>#REF!</v>
      </c>
      <c r="AG8" t="e">
        <f>IF(#REF!,"AAAAAH7qfSA=",0)</f>
        <v>#REF!</v>
      </c>
      <c r="AH8" t="e">
        <f>AND(#REF!,"AAAAAH7qfSE=")</f>
        <v>#REF!</v>
      </c>
      <c r="AI8" t="e">
        <f>AND(#REF!,"AAAAAH7qfSI=")</f>
        <v>#REF!</v>
      </c>
      <c r="AJ8" t="e">
        <f>AND(#REF!,"AAAAAH7qfSM=")</f>
        <v>#REF!</v>
      </c>
      <c r="AK8" t="e">
        <f>AND(#REF!,"AAAAAH7qfSQ=")</f>
        <v>#REF!</v>
      </c>
      <c r="AL8" t="e">
        <f>AND(#REF!,"AAAAAH7qfSU=")</f>
        <v>#REF!</v>
      </c>
      <c r="AM8" t="e">
        <f>AND(#REF!,"AAAAAH7qfSY=")</f>
        <v>#REF!</v>
      </c>
      <c r="AN8" t="e">
        <f>AND(#REF!,"AAAAAH7qfSc=")</f>
        <v>#REF!</v>
      </c>
      <c r="AO8" t="e">
        <f>AND(#REF!,"AAAAAH7qfSg=")</f>
        <v>#REF!</v>
      </c>
      <c r="AP8" t="e">
        <f>IF(#REF!,"AAAAAH7qfSk=",0)</f>
        <v>#REF!</v>
      </c>
      <c r="AQ8" t="e">
        <f>AND(#REF!,"AAAAAH7qfSo=")</f>
        <v>#REF!</v>
      </c>
      <c r="AR8" t="e">
        <f>AND(#REF!,"AAAAAH7qfSs=")</f>
        <v>#REF!</v>
      </c>
      <c r="AS8" t="e">
        <f>AND(#REF!,"AAAAAH7qfSw=")</f>
        <v>#REF!</v>
      </c>
      <c r="AT8" t="e">
        <f>AND(#REF!,"AAAAAH7qfS0=")</f>
        <v>#REF!</v>
      </c>
      <c r="AU8" t="e">
        <f>AND(#REF!,"AAAAAH7qfS4=")</f>
        <v>#REF!</v>
      </c>
      <c r="AV8" t="e">
        <f>AND(#REF!,"AAAAAH7qfS8=")</f>
        <v>#REF!</v>
      </c>
      <c r="AW8" t="e">
        <f>AND(#REF!,"AAAAAH7qfTA=")</f>
        <v>#REF!</v>
      </c>
      <c r="AX8" t="e">
        <f>AND(#REF!,"AAAAAH7qfTE=")</f>
        <v>#REF!</v>
      </c>
      <c r="AY8" t="e">
        <f>IF(#REF!,"AAAAAH7qfTI=",0)</f>
        <v>#REF!</v>
      </c>
      <c r="AZ8" t="e">
        <f>AND(#REF!,"AAAAAH7qfTM=")</f>
        <v>#REF!</v>
      </c>
      <c r="BA8" t="e">
        <f>AND(#REF!,"AAAAAH7qfTQ=")</f>
        <v>#REF!</v>
      </c>
      <c r="BB8" t="e">
        <f>AND(#REF!,"AAAAAH7qfTU=")</f>
        <v>#REF!</v>
      </c>
      <c r="BC8" t="e">
        <f>AND(#REF!,"AAAAAH7qfTY=")</f>
        <v>#REF!</v>
      </c>
      <c r="BD8" t="e">
        <f>AND(#REF!,"AAAAAH7qfTc=")</f>
        <v>#REF!</v>
      </c>
      <c r="BE8" t="e">
        <f>AND(#REF!,"AAAAAH7qfTg=")</f>
        <v>#REF!</v>
      </c>
      <c r="BF8" t="e">
        <f>AND(#REF!,"AAAAAH7qfTk=")</f>
        <v>#REF!</v>
      </c>
      <c r="BG8" t="e">
        <f>AND(#REF!,"AAAAAH7qfTo=")</f>
        <v>#REF!</v>
      </c>
      <c r="BH8" t="e">
        <f>IF(#REF!,"AAAAAH7qfTs=",0)</f>
        <v>#REF!</v>
      </c>
      <c r="BI8" t="e">
        <f>AND(#REF!,"AAAAAH7qfTw=")</f>
        <v>#REF!</v>
      </c>
      <c r="BJ8" t="e">
        <f>AND(#REF!,"AAAAAH7qfT0=")</f>
        <v>#REF!</v>
      </c>
      <c r="BK8" t="e">
        <f>AND(#REF!,"AAAAAH7qfT4=")</f>
        <v>#REF!</v>
      </c>
      <c r="BL8" t="e">
        <f>AND(#REF!,"AAAAAH7qfT8=")</f>
        <v>#REF!</v>
      </c>
      <c r="BM8" t="e">
        <f>AND(#REF!,"AAAAAH7qfUA=")</f>
        <v>#REF!</v>
      </c>
      <c r="BN8" t="e">
        <f>AND(#REF!,"AAAAAH7qfUE=")</f>
        <v>#REF!</v>
      </c>
      <c r="BO8" t="e">
        <f>AND(#REF!,"AAAAAH7qfUI=")</f>
        <v>#REF!</v>
      </c>
      <c r="BP8" t="e">
        <f>AND(#REF!,"AAAAAH7qfUM=")</f>
        <v>#REF!</v>
      </c>
      <c r="BQ8" t="e">
        <f>IF(#REF!,"AAAAAH7qfUQ=",0)</f>
        <v>#REF!</v>
      </c>
      <c r="BR8" t="e">
        <f>AND(#REF!,"AAAAAH7qfUU=")</f>
        <v>#REF!</v>
      </c>
      <c r="BS8" t="e">
        <f>AND(#REF!,"AAAAAH7qfUY=")</f>
        <v>#REF!</v>
      </c>
      <c r="BT8" t="e">
        <f>AND(#REF!,"AAAAAH7qfUc=")</f>
        <v>#REF!</v>
      </c>
      <c r="BU8" t="e">
        <f>AND(#REF!,"AAAAAH7qfUg=")</f>
        <v>#REF!</v>
      </c>
      <c r="BV8" t="e">
        <f>AND(#REF!,"AAAAAH7qfUk=")</f>
        <v>#REF!</v>
      </c>
      <c r="BW8" t="e">
        <f>AND(#REF!,"AAAAAH7qfUo=")</f>
        <v>#REF!</v>
      </c>
      <c r="BX8" t="e">
        <f>AND(#REF!,"AAAAAH7qfUs=")</f>
        <v>#REF!</v>
      </c>
      <c r="BY8" t="e">
        <f>AND(#REF!,"AAAAAH7qfUw=")</f>
        <v>#REF!</v>
      </c>
      <c r="BZ8" t="e">
        <f>IF(#REF!,"AAAAAH7qfU0=",0)</f>
        <v>#REF!</v>
      </c>
      <c r="CA8" t="e">
        <f>AND(#REF!,"AAAAAH7qfU4=")</f>
        <v>#REF!</v>
      </c>
      <c r="CB8" t="e">
        <f>AND(#REF!,"AAAAAH7qfU8=")</f>
        <v>#REF!</v>
      </c>
      <c r="CC8" t="e">
        <f>AND(#REF!,"AAAAAH7qfVA=")</f>
        <v>#REF!</v>
      </c>
      <c r="CD8" t="e">
        <f>AND(#REF!,"AAAAAH7qfVE=")</f>
        <v>#REF!</v>
      </c>
      <c r="CE8" t="e">
        <f>AND(#REF!,"AAAAAH7qfVI=")</f>
        <v>#REF!</v>
      </c>
      <c r="CF8" t="e">
        <f>AND(#REF!,"AAAAAH7qfVM=")</f>
        <v>#REF!</v>
      </c>
      <c r="CG8" t="e">
        <f>AND(#REF!,"AAAAAH7qfVQ=")</f>
        <v>#REF!</v>
      </c>
      <c r="CH8" t="e">
        <f>AND(#REF!,"AAAAAH7qfVU=")</f>
        <v>#REF!</v>
      </c>
      <c r="CI8" t="e">
        <f>IF(#REF!,"AAAAAH7qfVY=",0)</f>
        <v>#REF!</v>
      </c>
      <c r="CJ8" t="e">
        <f>AND(#REF!,"AAAAAH7qfVc=")</f>
        <v>#REF!</v>
      </c>
      <c r="CK8" t="e">
        <f>AND(#REF!,"AAAAAH7qfVg=")</f>
        <v>#REF!</v>
      </c>
      <c r="CL8" t="e">
        <f>AND(#REF!,"AAAAAH7qfVk=")</f>
        <v>#REF!</v>
      </c>
      <c r="CM8" t="e">
        <f>AND(#REF!,"AAAAAH7qfVo=")</f>
        <v>#REF!</v>
      </c>
      <c r="CN8" t="e">
        <f>AND(#REF!,"AAAAAH7qfVs=")</f>
        <v>#REF!</v>
      </c>
      <c r="CO8" t="e">
        <f>AND(#REF!,"AAAAAH7qfVw=")</f>
        <v>#REF!</v>
      </c>
      <c r="CP8" t="e">
        <f>AND(#REF!,"AAAAAH7qfV0=")</f>
        <v>#REF!</v>
      </c>
      <c r="CQ8" t="e">
        <f>AND(#REF!,"AAAAAH7qfV4=")</f>
        <v>#REF!</v>
      </c>
      <c r="CR8" t="e">
        <f>IF(#REF!,"AAAAAH7qfV8=",0)</f>
        <v>#REF!</v>
      </c>
      <c r="CS8" t="e">
        <f>AND(#REF!,"AAAAAH7qfWA=")</f>
        <v>#REF!</v>
      </c>
      <c r="CT8" t="e">
        <f>AND(#REF!,"AAAAAH7qfWE=")</f>
        <v>#REF!</v>
      </c>
      <c r="CU8" t="e">
        <f>AND(#REF!,"AAAAAH7qfWI=")</f>
        <v>#REF!</v>
      </c>
      <c r="CV8" t="e">
        <f>AND(#REF!,"AAAAAH7qfWM=")</f>
        <v>#REF!</v>
      </c>
      <c r="CW8" t="e">
        <f>AND(#REF!,"AAAAAH7qfWQ=")</f>
        <v>#REF!</v>
      </c>
      <c r="CX8" t="e">
        <f>AND(#REF!,"AAAAAH7qfWU=")</f>
        <v>#REF!</v>
      </c>
      <c r="CY8" t="e">
        <f>AND(#REF!,"AAAAAH7qfWY=")</f>
        <v>#REF!</v>
      </c>
      <c r="CZ8" t="e">
        <f>AND(#REF!,"AAAAAH7qfWc=")</f>
        <v>#REF!</v>
      </c>
      <c r="DA8" t="e">
        <f>IF(#REF!,"AAAAAH7qfWg=",0)</f>
        <v>#REF!</v>
      </c>
      <c r="DB8" t="e">
        <f>AND(#REF!,"AAAAAH7qfWk=")</f>
        <v>#REF!</v>
      </c>
      <c r="DC8" t="e">
        <f>AND(#REF!,"AAAAAH7qfWo=")</f>
        <v>#REF!</v>
      </c>
      <c r="DD8" t="e">
        <f>AND(#REF!,"AAAAAH7qfWs=")</f>
        <v>#REF!</v>
      </c>
      <c r="DE8" t="e">
        <f>AND(#REF!,"AAAAAH7qfWw=")</f>
        <v>#REF!</v>
      </c>
      <c r="DF8" t="e">
        <f>AND(#REF!,"AAAAAH7qfW0=")</f>
        <v>#REF!</v>
      </c>
      <c r="DG8" t="e">
        <f>AND(#REF!,"AAAAAH7qfW4=")</f>
        <v>#REF!</v>
      </c>
      <c r="DH8" t="e">
        <f>AND(#REF!,"AAAAAH7qfW8=")</f>
        <v>#REF!</v>
      </c>
      <c r="DI8" t="e">
        <f>AND(#REF!,"AAAAAH7qfXA=")</f>
        <v>#REF!</v>
      </c>
      <c r="DJ8" t="e">
        <f>IF(#REF!,"AAAAAH7qfXE=",0)</f>
        <v>#REF!</v>
      </c>
      <c r="DK8" t="e">
        <f>AND(#REF!,"AAAAAH7qfXI=")</f>
        <v>#REF!</v>
      </c>
      <c r="DL8" t="e">
        <f>AND(#REF!,"AAAAAH7qfXM=")</f>
        <v>#REF!</v>
      </c>
      <c r="DM8" t="e">
        <f>AND(#REF!,"AAAAAH7qfXQ=")</f>
        <v>#REF!</v>
      </c>
      <c r="DN8" t="e">
        <f>AND(#REF!,"AAAAAH7qfXU=")</f>
        <v>#REF!</v>
      </c>
      <c r="DO8" t="e">
        <f>AND(#REF!,"AAAAAH7qfXY=")</f>
        <v>#REF!</v>
      </c>
      <c r="DP8" t="e">
        <f>AND(#REF!,"AAAAAH7qfXc=")</f>
        <v>#REF!</v>
      </c>
      <c r="DQ8" t="e">
        <f>AND(#REF!,"AAAAAH7qfXg=")</f>
        <v>#REF!</v>
      </c>
      <c r="DR8" t="e">
        <f>AND(#REF!,"AAAAAH7qfXk=")</f>
        <v>#REF!</v>
      </c>
      <c r="DS8" t="e">
        <f>IF(#REF!,"AAAAAH7qfXo=",0)</f>
        <v>#REF!</v>
      </c>
      <c r="DT8" t="e">
        <f>AND(#REF!,"AAAAAH7qfXs=")</f>
        <v>#REF!</v>
      </c>
      <c r="DU8" t="e">
        <f>AND(#REF!,"AAAAAH7qfXw=")</f>
        <v>#REF!</v>
      </c>
      <c r="DV8" t="e">
        <f>AND(#REF!,"AAAAAH7qfX0=")</f>
        <v>#REF!</v>
      </c>
      <c r="DW8" t="e">
        <f>AND(#REF!,"AAAAAH7qfX4=")</f>
        <v>#REF!</v>
      </c>
      <c r="DX8" t="e">
        <f>AND(#REF!,"AAAAAH7qfX8=")</f>
        <v>#REF!</v>
      </c>
      <c r="DY8" t="e">
        <f>AND(#REF!,"AAAAAH7qfYA=")</f>
        <v>#REF!</v>
      </c>
      <c r="DZ8" t="e">
        <f>AND(#REF!,"AAAAAH7qfYE=")</f>
        <v>#REF!</v>
      </c>
      <c r="EA8" t="e">
        <f>AND(#REF!,"AAAAAH7qfYI=")</f>
        <v>#REF!</v>
      </c>
      <c r="EB8" t="e">
        <f>IF(#REF!,"AAAAAH7qfYM=",0)</f>
        <v>#REF!</v>
      </c>
      <c r="EC8" t="e">
        <f>AND(#REF!,"AAAAAH7qfYQ=")</f>
        <v>#REF!</v>
      </c>
      <c r="ED8" t="e">
        <f>AND(#REF!,"AAAAAH7qfYU=")</f>
        <v>#REF!</v>
      </c>
      <c r="EE8" t="e">
        <f>AND(#REF!,"AAAAAH7qfYY=")</f>
        <v>#REF!</v>
      </c>
      <c r="EF8" t="e">
        <f>AND(#REF!,"AAAAAH7qfYc=")</f>
        <v>#REF!</v>
      </c>
      <c r="EG8" t="e">
        <f>AND(#REF!,"AAAAAH7qfYg=")</f>
        <v>#REF!</v>
      </c>
      <c r="EH8" t="e">
        <f>AND(#REF!,"AAAAAH7qfYk=")</f>
        <v>#REF!</v>
      </c>
      <c r="EI8" t="e">
        <f>AND(#REF!,"AAAAAH7qfYo=")</f>
        <v>#REF!</v>
      </c>
      <c r="EJ8" t="e">
        <f>AND(#REF!,"AAAAAH7qfYs=")</f>
        <v>#REF!</v>
      </c>
      <c r="EK8" t="e">
        <f>IF(#REF!,"AAAAAH7qfYw=",0)</f>
        <v>#REF!</v>
      </c>
      <c r="EL8" t="e">
        <f>AND(#REF!,"AAAAAH7qfY0=")</f>
        <v>#REF!</v>
      </c>
      <c r="EM8" t="e">
        <f>AND(#REF!,"AAAAAH7qfY4=")</f>
        <v>#REF!</v>
      </c>
      <c r="EN8" t="e">
        <f>AND(#REF!,"AAAAAH7qfY8=")</f>
        <v>#REF!</v>
      </c>
      <c r="EO8" t="e">
        <f>AND(#REF!,"AAAAAH7qfZA=")</f>
        <v>#REF!</v>
      </c>
      <c r="EP8" t="e">
        <f>AND(#REF!,"AAAAAH7qfZE=")</f>
        <v>#REF!</v>
      </c>
      <c r="EQ8" t="e">
        <f>AND(#REF!,"AAAAAH7qfZI=")</f>
        <v>#REF!</v>
      </c>
      <c r="ER8" t="e">
        <f>AND(#REF!,"AAAAAH7qfZM=")</f>
        <v>#REF!</v>
      </c>
      <c r="ES8" t="e">
        <f>AND(#REF!,"AAAAAH7qfZQ=")</f>
        <v>#REF!</v>
      </c>
      <c r="ET8" t="e">
        <f>IF(#REF!,"AAAAAH7qfZU=",0)</f>
        <v>#REF!</v>
      </c>
      <c r="EU8" t="e">
        <f>AND(#REF!,"AAAAAH7qfZY=")</f>
        <v>#REF!</v>
      </c>
      <c r="EV8" t="e">
        <f>AND(#REF!,"AAAAAH7qfZc=")</f>
        <v>#REF!</v>
      </c>
      <c r="EW8" t="e">
        <f>AND(#REF!,"AAAAAH7qfZg=")</f>
        <v>#REF!</v>
      </c>
      <c r="EX8" t="e">
        <f>AND(#REF!,"AAAAAH7qfZk=")</f>
        <v>#REF!</v>
      </c>
      <c r="EY8" t="e">
        <f>AND(#REF!,"AAAAAH7qfZo=")</f>
        <v>#REF!</v>
      </c>
      <c r="EZ8" t="e">
        <f>AND(#REF!,"AAAAAH7qfZs=")</f>
        <v>#REF!</v>
      </c>
      <c r="FA8" t="e">
        <f>AND(#REF!,"AAAAAH7qfZw=")</f>
        <v>#REF!</v>
      </c>
      <c r="FB8" t="e">
        <f>AND(#REF!,"AAAAAH7qfZ0=")</f>
        <v>#REF!</v>
      </c>
      <c r="FC8" t="e">
        <f>IF(#REF!,"AAAAAH7qfZ4=",0)</f>
        <v>#REF!</v>
      </c>
      <c r="FD8" t="e">
        <f>AND(#REF!,"AAAAAH7qfZ8=")</f>
        <v>#REF!</v>
      </c>
      <c r="FE8" t="e">
        <f>AND(#REF!,"AAAAAH7qfaA=")</f>
        <v>#REF!</v>
      </c>
      <c r="FF8" t="e">
        <f>AND(#REF!,"AAAAAH7qfaE=")</f>
        <v>#REF!</v>
      </c>
      <c r="FG8" t="e">
        <f>AND(#REF!,"AAAAAH7qfaI=")</f>
        <v>#REF!</v>
      </c>
      <c r="FH8" t="e">
        <f>AND(#REF!,"AAAAAH7qfaM=")</f>
        <v>#REF!</v>
      </c>
      <c r="FI8" t="e">
        <f>AND(#REF!,"AAAAAH7qfaQ=")</f>
        <v>#REF!</v>
      </c>
      <c r="FJ8" t="e">
        <f>AND(#REF!,"AAAAAH7qfaU=")</f>
        <v>#REF!</v>
      </c>
      <c r="FK8" t="e">
        <f>AND(#REF!,"AAAAAH7qfaY=")</f>
        <v>#REF!</v>
      </c>
      <c r="FL8" t="e">
        <f>IF(#REF!,"AAAAAH7qfac=",0)</f>
        <v>#REF!</v>
      </c>
      <c r="FM8" t="e">
        <f>AND(#REF!,"AAAAAH7qfag=")</f>
        <v>#REF!</v>
      </c>
      <c r="FN8" t="e">
        <f>AND(#REF!,"AAAAAH7qfak=")</f>
        <v>#REF!</v>
      </c>
      <c r="FO8" t="e">
        <f>AND(#REF!,"AAAAAH7qfao=")</f>
        <v>#REF!</v>
      </c>
      <c r="FP8" t="e">
        <f>AND(#REF!,"AAAAAH7qfas=")</f>
        <v>#REF!</v>
      </c>
      <c r="FQ8" t="e">
        <f>AND(#REF!,"AAAAAH7qfaw=")</f>
        <v>#REF!</v>
      </c>
      <c r="FR8" t="e">
        <f>AND(#REF!,"AAAAAH7qfa0=")</f>
        <v>#REF!</v>
      </c>
      <c r="FS8" t="e">
        <f>AND(#REF!,"AAAAAH7qfa4=")</f>
        <v>#REF!</v>
      </c>
      <c r="FT8" t="e">
        <f>AND(#REF!,"AAAAAH7qfa8=")</f>
        <v>#REF!</v>
      </c>
      <c r="FU8" t="e">
        <f>IF(#REF!,"AAAAAH7qfbA=",0)</f>
        <v>#REF!</v>
      </c>
      <c r="FV8" t="e">
        <f>AND(#REF!,"AAAAAH7qfbE=")</f>
        <v>#REF!</v>
      </c>
      <c r="FW8" t="e">
        <f>AND(#REF!,"AAAAAH7qfbI=")</f>
        <v>#REF!</v>
      </c>
      <c r="FX8" t="e">
        <f>AND(#REF!,"AAAAAH7qfbM=")</f>
        <v>#REF!</v>
      </c>
      <c r="FY8" t="e">
        <f>AND(#REF!,"AAAAAH7qfbQ=")</f>
        <v>#REF!</v>
      </c>
      <c r="FZ8" t="e">
        <f>AND(#REF!,"AAAAAH7qfbU=")</f>
        <v>#REF!</v>
      </c>
      <c r="GA8" t="e">
        <f>AND(#REF!,"AAAAAH7qfbY=")</f>
        <v>#REF!</v>
      </c>
      <c r="GB8" t="e">
        <f>AND(#REF!,"AAAAAH7qfbc=")</f>
        <v>#REF!</v>
      </c>
      <c r="GC8" t="e">
        <f>AND(#REF!,"AAAAAH7qfbg=")</f>
        <v>#REF!</v>
      </c>
      <c r="GD8" t="e">
        <f>IF(#REF!,"AAAAAH7qfbk=",0)</f>
        <v>#REF!</v>
      </c>
      <c r="GE8" t="e">
        <f>AND(#REF!,"AAAAAH7qfbo=")</f>
        <v>#REF!</v>
      </c>
      <c r="GF8" t="e">
        <f>AND(#REF!,"AAAAAH7qfbs=")</f>
        <v>#REF!</v>
      </c>
      <c r="GG8" t="e">
        <f>AND(#REF!,"AAAAAH7qfbw=")</f>
        <v>#REF!</v>
      </c>
      <c r="GH8" t="e">
        <f>AND(#REF!,"AAAAAH7qfb0=")</f>
        <v>#REF!</v>
      </c>
      <c r="GI8" t="e">
        <f>AND(#REF!,"AAAAAH7qfb4=")</f>
        <v>#REF!</v>
      </c>
      <c r="GJ8" t="e">
        <f>AND(#REF!,"AAAAAH7qfb8=")</f>
        <v>#REF!</v>
      </c>
      <c r="GK8" t="e">
        <f>AND(#REF!,"AAAAAH7qfcA=")</f>
        <v>#REF!</v>
      </c>
      <c r="GL8" t="e">
        <f>AND(#REF!,"AAAAAH7qfcE=")</f>
        <v>#REF!</v>
      </c>
      <c r="GM8" t="e">
        <f>IF(#REF!,"AAAAAH7qfcI=",0)</f>
        <v>#REF!</v>
      </c>
      <c r="GN8" t="e">
        <f>AND(#REF!,"AAAAAH7qfcM=")</f>
        <v>#REF!</v>
      </c>
      <c r="GO8" t="e">
        <f>AND(#REF!,"AAAAAH7qfcQ=")</f>
        <v>#REF!</v>
      </c>
      <c r="GP8" t="e">
        <f>AND(#REF!,"AAAAAH7qfcU=")</f>
        <v>#REF!</v>
      </c>
      <c r="GQ8" t="e">
        <f>AND(#REF!,"AAAAAH7qfcY=")</f>
        <v>#REF!</v>
      </c>
      <c r="GR8" t="e">
        <f>AND(#REF!,"AAAAAH7qfcc=")</f>
        <v>#REF!</v>
      </c>
      <c r="GS8" t="e">
        <f>AND(#REF!,"AAAAAH7qfcg=")</f>
        <v>#REF!</v>
      </c>
      <c r="GT8" t="e">
        <f>AND(#REF!,"AAAAAH7qfck=")</f>
        <v>#REF!</v>
      </c>
      <c r="GU8" t="e">
        <f>AND(#REF!,"AAAAAH7qfco=")</f>
        <v>#REF!</v>
      </c>
      <c r="GV8" t="e">
        <f>IF(#REF!,"AAAAAH7qfcs=",0)</f>
        <v>#REF!</v>
      </c>
      <c r="GW8" t="e">
        <f>AND(#REF!,"AAAAAH7qfcw=")</f>
        <v>#REF!</v>
      </c>
      <c r="GX8" t="e">
        <f>AND(#REF!,"AAAAAH7qfc0=")</f>
        <v>#REF!</v>
      </c>
      <c r="GY8" t="e">
        <f>AND(#REF!,"AAAAAH7qfc4=")</f>
        <v>#REF!</v>
      </c>
      <c r="GZ8" t="e">
        <f>AND(#REF!,"AAAAAH7qfc8=")</f>
        <v>#REF!</v>
      </c>
      <c r="HA8" t="e">
        <f>AND(#REF!,"AAAAAH7qfdA=")</f>
        <v>#REF!</v>
      </c>
      <c r="HB8" t="e">
        <f>AND(#REF!,"AAAAAH7qfdE=")</f>
        <v>#REF!</v>
      </c>
      <c r="HC8" t="e">
        <f>AND(#REF!,"AAAAAH7qfdI=")</f>
        <v>#REF!</v>
      </c>
      <c r="HD8" t="e">
        <f>AND(#REF!,"AAAAAH7qfdM=")</f>
        <v>#REF!</v>
      </c>
      <c r="HE8" t="e">
        <f>IF(#REF!,"AAAAAH7qfdQ=",0)</f>
        <v>#REF!</v>
      </c>
      <c r="HF8" t="e">
        <f>AND(#REF!,"AAAAAH7qfdU=")</f>
        <v>#REF!</v>
      </c>
      <c r="HG8" t="e">
        <f>AND(#REF!,"AAAAAH7qfdY=")</f>
        <v>#REF!</v>
      </c>
      <c r="HH8" t="e">
        <f>AND(#REF!,"AAAAAH7qfdc=")</f>
        <v>#REF!</v>
      </c>
      <c r="HI8" t="e">
        <f>AND(#REF!,"AAAAAH7qfdg=")</f>
        <v>#REF!</v>
      </c>
      <c r="HJ8" t="e">
        <f>AND(#REF!,"AAAAAH7qfdk=")</f>
        <v>#REF!</v>
      </c>
      <c r="HK8" t="e">
        <f>AND(#REF!,"AAAAAH7qfdo=")</f>
        <v>#REF!</v>
      </c>
      <c r="HL8" t="e">
        <f>AND(#REF!,"AAAAAH7qfds=")</f>
        <v>#REF!</v>
      </c>
      <c r="HM8" t="e">
        <f>AND(#REF!,"AAAAAH7qfdw=")</f>
        <v>#REF!</v>
      </c>
      <c r="HN8" t="e">
        <f>IF(#REF!,"AAAAAH7qfd0=",0)</f>
        <v>#REF!</v>
      </c>
      <c r="HO8" t="e">
        <f>AND(#REF!,"AAAAAH7qfd4=")</f>
        <v>#REF!</v>
      </c>
      <c r="HP8" t="e">
        <f>AND(#REF!,"AAAAAH7qfd8=")</f>
        <v>#REF!</v>
      </c>
      <c r="HQ8" t="e">
        <f>AND(#REF!,"AAAAAH7qfeA=")</f>
        <v>#REF!</v>
      </c>
      <c r="HR8" t="e">
        <f>AND(#REF!,"AAAAAH7qfeE=")</f>
        <v>#REF!</v>
      </c>
      <c r="HS8" t="e">
        <f>AND(#REF!,"AAAAAH7qfeI=")</f>
        <v>#REF!</v>
      </c>
      <c r="HT8" t="e">
        <f>AND(#REF!,"AAAAAH7qfeM=")</f>
        <v>#REF!</v>
      </c>
      <c r="HU8" t="e">
        <f>AND(#REF!,"AAAAAH7qfeQ=")</f>
        <v>#REF!</v>
      </c>
      <c r="HV8" t="e">
        <f>AND(#REF!,"AAAAAH7qfeU=")</f>
        <v>#REF!</v>
      </c>
      <c r="HW8" t="e">
        <f>IF(#REF!,"AAAAAH7qfeY=",0)</f>
        <v>#REF!</v>
      </c>
      <c r="HX8" t="e">
        <f>AND(#REF!,"AAAAAH7qfec=")</f>
        <v>#REF!</v>
      </c>
      <c r="HY8" t="e">
        <f>AND(#REF!,"AAAAAH7qfeg=")</f>
        <v>#REF!</v>
      </c>
      <c r="HZ8" t="e">
        <f>AND(#REF!,"AAAAAH7qfek=")</f>
        <v>#REF!</v>
      </c>
      <c r="IA8" t="e">
        <f>AND(#REF!,"AAAAAH7qfeo=")</f>
        <v>#REF!</v>
      </c>
      <c r="IB8" t="e">
        <f>AND(#REF!,"AAAAAH7qfes=")</f>
        <v>#REF!</v>
      </c>
      <c r="IC8" t="e">
        <f>AND(#REF!,"AAAAAH7qfew=")</f>
        <v>#REF!</v>
      </c>
      <c r="ID8" t="e">
        <f>AND(#REF!,"AAAAAH7qfe0=")</f>
        <v>#REF!</v>
      </c>
      <c r="IE8" t="e">
        <f>AND(#REF!,"AAAAAH7qfe4=")</f>
        <v>#REF!</v>
      </c>
      <c r="IF8" t="e">
        <f>IF(#REF!,"AAAAAH7qfe8=",0)</f>
        <v>#REF!</v>
      </c>
      <c r="IG8" t="e">
        <f>AND(#REF!,"AAAAAH7qffA=")</f>
        <v>#REF!</v>
      </c>
      <c r="IH8" t="e">
        <f>AND(#REF!,"AAAAAH7qffE=")</f>
        <v>#REF!</v>
      </c>
      <c r="II8" t="e">
        <f>AND(#REF!,"AAAAAH7qffI=")</f>
        <v>#REF!</v>
      </c>
      <c r="IJ8" t="e">
        <f>AND(#REF!,"AAAAAH7qffM=")</f>
        <v>#REF!</v>
      </c>
      <c r="IK8" t="e">
        <f>AND(#REF!,"AAAAAH7qffQ=")</f>
        <v>#REF!</v>
      </c>
      <c r="IL8" t="e">
        <f>AND(#REF!,"AAAAAH7qffU=")</f>
        <v>#REF!</v>
      </c>
      <c r="IM8" t="e">
        <f>AND(#REF!,"AAAAAH7qffY=")</f>
        <v>#REF!</v>
      </c>
      <c r="IN8" t="e">
        <f>AND(#REF!,"AAAAAH7qffc=")</f>
        <v>#REF!</v>
      </c>
      <c r="IO8" t="e">
        <f>IF(#REF!,"AAAAAH7qffg=",0)</f>
        <v>#REF!</v>
      </c>
      <c r="IP8" t="e">
        <f>AND(#REF!,"AAAAAH7qffk=")</f>
        <v>#REF!</v>
      </c>
      <c r="IQ8" t="e">
        <f>AND(#REF!,"AAAAAH7qffo=")</f>
        <v>#REF!</v>
      </c>
      <c r="IR8" t="e">
        <f>AND(#REF!,"AAAAAH7qffs=")</f>
        <v>#REF!</v>
      </c>
      <c r="IS8" t="e">
        <f>AND(#REF!,"AAAAAH7qffw=")</f>
        <v>#REF!</v>
      </c>
      <c r="IT8" t="e">
        <f>AND(#REF!,"AAAAAH7qff0=")</f>
        <v>#REF!</v>
      </c>
      <c r="IU8" t="e">
        <f>AND(#REF!,"AAAAAH7qff4=")</f>
        <v>#REF!</v>
      </c>
      <c r="IV8" t="e">
        <f>AND(#REF!,"AAAAAH7qff8=")</f>
        <v>#REF!</v>
      </c>
    </row>
    <row r="9" spans="1:256" x14ac:dyDescent="0.2">
      <c r="A9" t="e">
        <f>AND(#REF!,"AAAAAHnP+QA=")</f>
        <v>#REF!</v>
      </c>
      <c r="B9" t="e">
        <f>IF(#REF!,"AAAAAHnP+QE=",0)</f>
        <v>#REF!</v>
      </c>
      <c r="C9" t="e">
        <f>AND(#REF!,"AAAAAHnP+QI=")</f>
        <v>#REF!</v>
      </c>
      <c r="D9" t="e">
        <f>AND(#REF!,"AAAAAHnP+QM=")</f>
        <v>#REF!</v>
      </c>
      <c r="E9" t="e">
        <f>AND(#REF!,"AAAAAHnP+QQ=")</f>
        <v>#REF!</v>
      </c>
      <c r="F9" t="e">
        <f>AND(#REF!,"AAAAAHnP+QU=")</f>
        <v>#REF!</v>
      </c>
      <c r="G9" t="e">
        <f>AND(#REF!,"AAAAAHnP+QY=")</f>
        <v>#REF!</v>
      </c>
      <c r="H9" t="e">
        <f>AND(#REF!,"AAAAAHnP+Qc=")</f>
        <v>#REF!</v>
      </c>
      <c r="I9" t="e">
        <f>AND(#REF!,"AAAAAHnP+Qg=")</f>
        <v>#REF!</v>
      </c>
      <c r="J9" t="e">
        <f>AND(#REF!,"AAAAAHnP+Qk=")</f>
        <v>#REF!</v>
      </c>
      <c r="K9" t="e">
        <f>IF(#REF!,"AAAAAHnP+Qo=",0)</f>
        <v>#REF!</v>
      </c>
      <c r="L9" t="e">
        <f>AND(#REF!,"AAAAAHnP+Qs=")</f>
        <v>#REF!</v>
      </c>
      <c r="M9" t="e">
        <f>AND(#REF!,"AAAAAHnP+Qw=")</f>
        <v>#REF!</v>
      </c>
      <c r="N9" t="e">
        <f>AND(#REF!,"AAAAAHnP+Q0=")</f>
        <v>#REF!</v>
      </c>
      <c r="O9" t="e">
        <f>AND(#REF!,"AAAAAHnP+Q4=")</f>
        <v>#REF!</v>
      </c>
      <c r="P9" t="e">
        <f>AND(#REF!,"AAAAAHnP+Q8=")</f>
        <v>#REF!</v>
      </c>
      <c r="Q9" t="e">
        <f>AND(#REF!,"AAAAAHnP+RA=")</f>
        <v>#REF!</v>
      </c>
      <c r="R9" t="e">
        <f>AND(#REF!,"AAAAAHnP+RE=")</f>
        <v>#REF!</v>
      </c>
      <c r="S9" t="e">
        <f>AND(#REF!,"AAAAAHnP+RI=")</f>
        <v>#REF!</v>
      </c>
      <c r="T9" t="e">
        <f>IF(#REF!,"AAAAAHnP+RM=",0)</f>
        <v>#REF!</v>
      </c>
      <c r="U9" t="e">
        <f>AND(#REF!,"AAAAAHnP+RQ=")</f>
        <v>#REF!</v>
      </c>
      <c r="V9" t="e">
        <f>AND(#REF!,"AAAAAHnP+RU=")</f>
        <v>#REF!</v>
      </c>
      <c r="W9" t="e">
        <f>AND(#REF!,"AAAAAHnP+RY=")</f>
        <v>#REF!</v>
      </c>
      <c r="X9" t="e">
        <f>AND(#REF!,"AAAAAHnP+Rc=")</f>
        <v>#REF!</v>
      </c>
      <c r="Y9" t="e">
        <f>AND(#REF!,"AAAAAHnP+Rg=")</f>
        <v>#REF!</v>
      </c>
      <c r="Z9" t="e">
        <f>AND(#REF!,"AAAAAHnP+Rk=")</f>
        <v>#REF!</v>
      </c>
      <c r="AA9" t="e">
        <f>AND(#REF!,"AAAAAHnP+Ro=")</f>
        <v>#REF!</v>
      </c>
      <c r="AB9" t="e">
        <f>AND(#REF!,"AAAAAHnP+Rs=")</f>
        <v>#REF!</v>
      </c>
      <c r="AC9" t="e">
        <f>IF(#REF!,"AAAAAHnP+Rw=",0)</f>
        <v>#REF!</v>
      </c>
      <c r="AD9" t="e">
        <f>AND(#REF!,"AAAAAHnP+R0=")</f>
        <v>#REF!</v>
      </c>
      <c r="AE9" t="e">
        <f>AND(#REF!,"AAAAAHnP+R4=")</f>
        <v>#REF!</v>
      </c>
      <c r="AF9" t="e">
        <f>AND(#REF!,"AAAAAHnP+R8=")</f>
        <v>#REF!</v>
      </c>
      <c r="AG9" t="e">
        <f>AND(#REF!,"AAAAAHnP+SA=")</f>
        <v>#REF!</v>
      </c>
      <c r="AH9" t="e">
        <f>AND(#REF!,"AAAAAHnP+SE=")</f>
        <v>#REF!</v>
      </c>
      <c r="AI9" t="e">
        <f>AND(#REF!,"AAAAAHnP+SI=")</f>
        <v>#REF!</v>
      </c>
      <c r="AJ9" t="e">
        <f>AND(#REF!,"AAAAAHnP+SM=")</f>
        <v>#REF!</v>
      </c>
      <c r="AK9" t="e">
        <f>AND(#REF!,"AAAAAHnP+SQ=")</f>
        <v>#REF!</v>
      </c>
      <c r="AL9" t="e">
        <f>IF(#REF!,"AAAAAHnP+SU=",0)</f>
        <v>#REF!</v>
      </c>
      <c r="AM9" t="e">
        <f>AND(#REF!,"AAAAAHnP+SY=")</f>
        <v>#REF!</v>
      </c>
      <c r="AN9" t="e">
        <f>AND(#REF!,"AAAAAHnP+Sc=")</f>
        <v>#REF!</v>
      </c>
      <c r="AO9" t="e">
        <f>AND(#REF!,"AAAAAHnP+Sg=")</f>
        <v>#REF!</v>
      </c>
      <c r="AP9" t="e">
        <f>AND(#REF!,"AAAAAHnP+Sk=")</f>
        <v>#REF!</v>
      </c>
      <c r="AQ9" t="e">
        <f>AND(#REF!,"AAAAAHnP+So=")</f>
        <v>#REF!</v>
      </c>
      <c r="AR9" t="e">
        <f>AND(#REF!,"AAAAAHnP+Ss=")</f>
        <v>#REF!</v>
      </c>
      <c r="AS9" t="e">
        <f>AND(#REF!,"AAAAAHnP+Sw=")</f>
        <v>#REF!</v>
      </c>
      <c r="AT9" t="e">
        <f>AND(#REF!,"AAAAAHnP+S0=")</f>
        <v>#REF!</v>
      </c>
      <c r="AU9" t="e">
        <f>IF(#REF!,"AAAAAHnP+S4=",0)</f>
        <v>#REF!</v>
      </c>
      <c r="AV9" t="e">
        <f>AND(#REF!,"AAAAAHnP+S8=")</f>
        <v>#REF!</v>
      </c>
      <c r="AW9" t="e">
        <f>AND(#REF!,"AAAAAHnP+TA=")</f>
        <v>#REF!</v>
      </c>
      <c r="AX9" t="e">
        <f>AND(#REF!,"AAAAAHnP+TE=")</f>
        <v>#REF!</v>
      </c>
      <c r="AY9" t="e">
        <f>AND(#REF!,"AAAAAHnP+TI=")</f>
        <v>#REF!</v>
      </c>
      <c r="AZ9" t="e">
        <f>AND(#REF!,"AAAAAHnP+TM=")</f>
        <v>#REF!</v>
      </c>
      <c r="BA9" t="e">
        <f>AND(#REF!,"AAAAAHnP+TQ=")</f>
        <v>#REF!</v>
      </c>
      <c r="BB9" t="e">
        <f>AND(#REF!,"AAAAAHnP+TU=")</f>
        <v>#REF!</v>
      </c>
      <c r="BC9" t="e">
        <f>AND(#REF!,"AAAAAHnP+TY=")</f>
        <v>#REF!</v>
      </c>
      <c r="BD9" t="e">
        <f>IF(#REF!,"AAAAAHnP+Tc=",0)</f>
        <v>#REF!</v>
      </c>
      <c r="BE9" t="e">
        <f>AND(#REF!,"AAAAAHnP+Tg=")</f>
        <v>#REF!</v>
      </c>
      <c r="BF9" t="e">
        <f>AND(#REF!,"AAAAAHnP+Tk=")</f>
        <v>#REF!</v>
      </c>
      <c r="BG9" t="e">
        <f>AND(#REF!,"AAAAAHnP+To=")</f>
        <v>#REF!</v>
      </c>
      <c r="BH9" t="e">
        <f>AND(#REF!,"AAAAAHnP+Ts=")</f>
        <v>#REF!</v>
      </c>
      <c r="BI9" t="e">
        <f>AND(#REF!,"AAAAAHnP+Tw=")</f>
        <v>#REF!</v>
      </c>
      <c r="BJ9" t="e">
        <f>AND(#REF!,"AAAAAHnP+T0=")</f>
        <v>#REF!</v>
      </c>
      <c r="BK9" t="e">
        <f>AND(#REF!,"AAAAAHnP+T4=")</f>
        <v>#REF!</v>
      </c>
      <c r="BL9" t="e">
        <f>AND(#REF!,"AAAAAHnP+T8=")</f>
        <v>#REF!</v>
      </c>
      <c r="BM9" t="e">
        <f>IF(#REF!,"AAAAAHnP+UA=",0)</f>
        <v>#REF!</v>
      </c>
      <c r="BN9" t="e">
        <f>AND(#REF!,"AAAAAHnP+UE=")</f>
        <v>#REF!</v>
      </c>
      <c r="BO9" t="e">
        <f>AND(#REF!,"AAAAAHnP+UI=")</f>
        <v>#REF!</v>
      </c>
      <c r="BP9" t="e">
        <f>AND(#REF!,"AAAAAHnP+UM=")</f>
        <v>#REF!</v>
      </c>
      <c r="BQ9" t="e">
        <f>AND(#REF!,"AAAAAHnP+UQ=")</f>
        <v>#REF!</v>
      </c>
      <c r="BR9" t="e">
        <f>AND(#REF!,"AAAAAHnP+UU=")</f>
        <v>#REF!</v>
      </c>
      <c r="BS9" t="e">
        <f>AND(#REF!,"AAAAAHnP+UY=")</f>
        <v>#REF!</v>
      </c>
      <c r="BT9" t="e">
        <f>AND(#REF!,"AAAAAHnP+Uc=")</f>
        <v>#REF!</v>
      </c>
      <c r="BU9" t="e">
        <f>AND(#REF!,"AAAAAHnP+Ug=")</f>
        <v>#REF!</v>
      </c>
      <c r="BV9" t="e">
        <f>IF(#REF!,"AAAAAHnP+Uk=",0)</f>
        <v>#REF!</v>
      </c>
      <c r="BW9" t="e">
        <f>AND(#REF!,"AAAAAHnP+Uo=")</f>
        <v>#REF!</v>
      </c>
      <c r="BX9" t="e">
        <f>AND(#REF!,"AAAAAHnP+Us=")</f>
        <v>#REF!</v>
      </c>
      <c r="BY9" t="e">
        <f>AND(#REF!,"AAAAAHnP+Uw=")</f>
        <v>#REF!</v>
      </c>
      <c r="BZ9" t="e">
        <f>AND(#REF!,"AAAAAHnP+U0=")</f>
        <v>#REF!</v>
      </c>
      <c r="CA9" t="e">
        <f>AND(#REF!,"AAAAAHnP+U4=")</f>
        <v>#REF!</v>
      </c>
      <c r="CB9" t="e">
        <f>AND(#REF!,"AAAAAHnP+U8=")</f>
        <v>#REF!</v>
      </c>
      <c r="CC9" t="e">
        <f>AND(#REF!,"AAAAAHnP+VA=")</f>
        <v>#REF!</v>
      </c>
      <c r="CD9" t="e">
        <f>AND(#REF!,"AAAAAHnP+VE=")</f>
        <v>#REF!</v>
      </c>
      <c r="CE9" t="e">
        <f>IF(#REF!,"AAAAAHnP+VI=",0)</f>
        <v>#REF!</v>
      </c>
      <c r="CF9" t="e">
        <f>AND(#REF!,"AAAAAHnP+VM=")</f>
        <v>#REF!</v>
      </c>
      <c r="CG9" t="e">
        <f>AND(#REF!,"AAAAAHnP+VQ=")</f>
        <v>#REF!</v>
      </c>
      <c r="CH9" t="e">
        <f>AND(#REF!,"AAAAAHnP+VU=")</f>
        <v>#REF!</v>
      </c>
      <c r="CI9" t="e">
        <f>AND(#REF!,"AAAAAHnP+VY=")</f>
        <v>#REF!</v>
      </c>
      <c r="CJ9" t="e">
        <f>AND(#REF!,"AAAAAHnP+Vc=")</f>
        <v>#REF!</v>
      </c>
      <c r="CK9" t="e">
        <f>AND(#REF!,"AAAAAHnP+Vg=")</f>
        <v>#REF!</v>
      </c>
      <c r="CL9" t="e">
        <f>AND(#REF!,"AAAAAHnP+Vk=")</f>
        <v>#REF!</v>
      </c>
      <c r="CM9" t="e">
        <f>AND(#REF!,"AAAAAHnP+Vo=")</f>
        <v>#REF!</v>
      </c>
      <c r="CN9" t="e">
        <f>IF(#REF!,"AAAAAHnP+Vs=",0)</f>
        <v>#REF!</v>
      </c>
      <c r="CO9" t="e">
        <f>AND(#REF!,"AAAAAHnP+Vw=")</f>
        <v>#REF!</v>
      </c>
      <c r="CP9" t="e">
        <f>AND(#REF!,"AAAAAHnP+V0=")</f>
        <v>#REF!</v>
      </c>
      <c r="CQ9" t="e">
        <f>AND(#REF!,"AAAAAHnP+V4=")</f>
        <v>#REF!</v>
      </c>
      <c r="CR9" t="e">
        <f>AND(#REF!,"AAAAAHnP+V8=")</f>
        <v>#REF!</v>
      </c>
      <c r="CS9" t="e">
        <f>AND(#REF!,"AAAAAHnP+WA=")</f>
        <v>#REF!</v>
      </c>
      <c r="CT9" t="e">
        <f>AND(#REF!,"AAAAAHnP+WE=")</f>
        <v>#REF!</v>
      </c>
      <c r="CU9" t="e">
        <f>AND(#REF!,"AAAAAHnP+WI=")</f>
        <v>#REF!</v>
      </c>
      <c r="CV9" t="e">
        <f>AND(#REF!,"AAAAAHnP+WM=")</f>
        <v>#REF!</v>
      </c>
      <c r="CW9" t="e">
        <f>IF(#REF!,"AAAAAHnP+WQ=",0)</f>
        <v>#REF!</v>
      </c>
      <c r="CX9" t="e">
        <f>AND(#REF!,"AAAAAHnP+WU=")</f>
        <v>#REF!</v>
      </c>
      <c r="CY9" t="e">
        <f>AND(#REF!,"AAAAAHnP+WY=")</f>
        <v>#REF!</v>
      </c>
      <c r="CZ9" t="e">
        <f>AND(#REF!,"AAAAAHnP+Wc=")</f>
        <v>#REF!</v>
      </c>
      <c r="DA9" t="e">
        <f>AND(#REF!,"AAAAAHnP+Wg=")</f>
        <v>#REF!</v>
      </c>
      <c r="DB9" t="e">
        <f>AND(#REF!,"AAAAAHnP+Wk=")</f>
        <v>#REF!</v>
      </c>
      <c r="DC9" t="e">
        <f>AND(#REF!,"AAAAAHnP+Wo=")</f>
        <v>#REF!</v>
      </c>
      <c r="DD9" t="e">
        <f>AND(#REF!,"AAAAAHnP+Ws=")</f>
        <v>#REF!</v>
      </c>
      <c r="DE9" t="e">
        <f>AND(#REF!,"AAAAAHnP+Ww=")</f>
        <v>#REF!</v>
      </c>
      <c r="DF9" t="e">
        <f>IF(#REF!,"AAAAAHnP+W0=",0)</f>
        <v>#REF!</v>
      </c>
      <c r="DG9" t="e">
        <f>AND(#REF!,"AAAAAHnP+W4=")</f>
        <v>#REF!</v>
      </c>
      <c r="DH9" t="e">
        <f>AND(#REF!,"AAAAAHnP+W8=")</f>
        <v>#REF!</v>
      </c>
      <c r="DI9" t="e">
        <f>AND(#REF!,"AAAAAHnP+XA=")</f>
        <v>#REF!</v>
      </c>
      <c r="DJ9" t="e">
        <f>AND(#REF!,"AAAAAHnP+XE=")</f>
        <v>#REF!</v>
      </c>
      <c r="DK9" t="e">
        <f>AND(#REF!,"AAAAAHnP+XI=")</f>
        <v>#REF!</v>
      </c>
      <c r="DL9" t="e">
        <f>AND(#REF!,"AAAAAHnP+XM=")</f>
        <v>#REF!</v>
      </c>
      <c r="DM9" t="e">
        <f>AND(#REF!,"AAAAAHnP+XQ=")</f>
        <v>#REF!</v>
      </c>
      <c r="DN9" t="e">
        <f>AND(#REF!,"AAAAAHnP+XU=")</f>
        <v>#REF!</v>
      </c>
      <c r="DO9" t="e">
        <f>IF(#REF!,"AAAAAHnP+XY=",0)</f>
        <v>#REF!</v>
      </c>
      <c r="DP9" t="e">
        <f>AND(#REF!,"AAAAAHnP+Xc=")</f>
        <v>#REF!</v>
      </c>
      <c r="DQ9" t="e">
        <f>AND(#REF!,"AAAAAHnP+Xg=")</f>
        <v>#REF!</v>
      </c>
      <c r="DR9" t="e">
        <f>AND(#REF!,"AAAAAHnP+Xk=")</f>
        <v>#REF!</v>
      </c>
      <c r="DS9" t="e">
        <f>AND(#REF!,"AAAAAHnP+Xo=")</f>
        <v>#REF!</v>
      </c>
      <c r="DT9" t="e">
        <f>AND(#REF!,"AAAAAHnP+Xs=")</f>
        <v>#REF!</v>
      </c>
      <c r="DU9" t="e">
        <f>AND(#REF!,"AAAAAHnP+Xw=")</f>
        <v>#REF!</v>
      </c>
      <c r="DV9" t="e">
        <f>AND(#REF!,"AAAAAHnP+X0=")</f>
        <v>#REF!</v>
      </c>
      <c r="DW9" t="e">
        <f>AND(#REF!,"AAAAAHnP+X4=")</f>
        <v>#REF!</v>
      </c>
      <c r="DX9" t="e">
        <f>IF(#REF!,"AAAAAHnP+X8=",0)</f>
        <v>#REF!</v>
      </c>
      <c r="DY9" t="e">
        <f>AND(#REF!,"AAAAAHnP+YA=")</f>
        <v>#REF!</v>
      </c>
      <c r="DZ9" t="e">
        <f>AND(#REF!,"AAAAAHnP+YE=")</f>
        <v>#REF!</v>
      </c>
      <c r="EA9" t="e">
        <f>AND(#REF!,"AAAAAHnP+YI=")</f>
        <v>#REF!</v>
      </c>
      <c r="EB9" t="e">
        <f>AND(#REF!,"AAAAAHnP+YM=")</f>
        <v>#REF!</v>
      </c>
      <c r="EC9" t="e">
        <f>AND(#REF!,"AAAAAHnP+YQ=")</f>
        <v>#REF!</v>
      </c>
      <c r="ED9" t="e">
        <f>AND(#REF!,"AAAAAHnP+YU=")</f>
        <v>#REF!</v>
      </c>
      <c r="EE9" t="e">
        <f>AND(#REF!,"AAAAAHnP+YY=")</f>
        <v>#REF!</v>
      </c>
      <c r="EF9" t="e">
        <f>AND(#REF!,"AAAAAHnP+Yc=")</f>
        <v>#REF!</v>
      </c>
      <c r="EG9" t="e">
        <f>IF(#REF!,"AAAAAHnP+Yg=",0)</f>
        <v>#REF!</v>
      </c>
      <c r="EH9" t="e">
        <f>AND(#REF!,"AAAAAHnP+Yk=")</f>
        <v>#REF!</v>
      </c>
      <c r="EI9" t="e">
        <f>AND(#REF!,"AAAAAHnP+Yo=")</f>
        <v>#REF!</v>
      </c>
      <c r="EJ9" t="e">
        <f>AND(#REF!,"AAAAAHnP+Ys=")</f>
        <v>#REF!</v>
      </c>
      <c r="EK9" t="e">
        <f>AND(#REF!,"AAAAAHnP+Yw=")</f>
        <v>#REF!</v>
      </c>
      <c r="EL9" t="e">
        <f>AND(#REF!,"AAAAAHnP+Y0=")</f>
        <v>#REF!</v>
      </c>
      <c r="EM9" t="e">
        <f>AND(#REF!,"AAAAAHnP+Y4=")</f>
        <v>#REF!</v>
      </c>
      <c r="EN9" t="e">
        <f>AND(#REF!,"AAAAAHnP+Y8=")</f>
        <v>#REF!</v>
      </c>
      <c r="EO9" t="e">
        <f>AND(#REF!,"AAAAAHnP+ZA=")</f>
        <v>#REF!</v>
      </c>
      <c r="EP9" t="e">
        <f>IF(#REF!,"AAAAAHnP+ZE=",0)</f>
        <v>#REF!</v>
      </c>
      <c r="EQ9" t="e">
        <f>AND(#REF!,"AAAAAHnP+ZI=")</f>
        <v>#REF!</v>
      </c>
      <c r="ER9" t="e">
        <f>AND(#REF!,"AAAAAHnP+ZM=")</f>
        <v>#REF!</v>
      </c>
      <c r="ES9" t="e">
        <f>AND(#REF!,"AAAAAHnP+ZQ=")</f>
        <v>#REF!</v>
      </c>
      <c r="ET9" t="e">
        <f>AND(#REF!,"AAAAAHnP+ZU=")</f>
        <v>#REF!</v>
      </c>
      <c r="EU9" t="e">
        <f>AND(#REF!,"AAAAAHnP+ZY=")</f>
        <v>#REF!</v>
      </c>
      <c r="EV9" t="e">
        <f>AND(#REF!,"AAAAAHnP+Zc=")</f>
        <v>#REF!</v>
      </c>
      <c r="EW9" t="e">
        <f>AND(#REF!,"AAAAAHnP+Zg=")</f>
        <v>#REF!</v>
      </c>
      <c r="EX9" t="e">
        <f>AND(#REF!,"AAAAAHnP+Zk=")</f>
        <v>#REF!</v>
      </c>
      <c r="EY9" t="e">
        <f>IF(#REF!,"AAAAAHnP+Zo=",0)</f>
        <v>#REF!</v>
      </c>
      <c r="EZ9" t="e">
        <f>AND(#REF!,"AAAAAHnP+Zs=")</f>
        <v>#REF!</v>
      </c>
      <c r="FA9" t="e">
        <f>AND(#REF!,"AAAAAHnP+Zw=")</f>
        <v>#REF!</v>
      </c>
      <c r="FB9" t="e">
        <f>AND(#REF!,"AAAAAHnP+Z0=")</f>
        <v>#REF!</v>
      </c>
      <c r="FC9" t="e">
        <f>AND(#REF!,"AAAAAHnP+Z4=")</f>
        <v>#REF!</v>
      </c>
      <c r="FD9" t="e">
        <f>AND(#REF!,"AAAAAHnP+Z8=")</f>
        <v>#REF!</v>
      </c>
      <c r="FE9" t="e">
        <f>AND(#REF!,"AAAAAHnP+aA=")</f>
        <v>#REF!</v>
      </c>
      <c r="FF9" t="e">
        <f>AND(#REF!,"AAAAAHnP+aE=")</f>
        <v>#REF!</v>
      </c>
      <c r="FG9" t="e">
        <f>AND(#REF!,"AAAAAHnP+aI=")</f>
        <v>#REF!</v>
      </c>
      <c r="FH9" t="e">
        <f>IF(#REF!,"AAAAAHnP+aM=",0)</f>
        <v>#REF!</v>
      </c>
      <c r="FI9" t="e">
        <f>AND(#REF!,"AAAAAHnP+aQ=")</f>
        <v>#REF!</v>
      </c>
      <c r="FJ9" t="e">
        <f>AND(#REF!,"AAAAAHnP+aU=")</f>
        <v>#REF!</v>
      </c>
      <c r="FK9" t="e">
        <f>AND(#REF!,"AAAAAHnP+aY=")</f>
        <v>#REF!</v>
      </c>
      <c r="FL9" t="e">
        <f>AND(#REF!,"AAAAAHnP+ac=")</f>
        <v>#REF!</v>
      </c>
      <c r="FM9" t="e">
        <f>AND(#REF!,"AAAAAHnP+ag=")</f>
        <v>#REF!</v>
      </c>
      <c r="FN9" t="e">
        <f>AND(#REF!,"AAAAAHnP+ak=")</f>
        <v>#REF!</v>
      </c>
      <c r="FO9" t="e">
        <f>AND(#REF!,"AAAAAHnP+ao=")</f>
        <v>#REF!</v>
      </c>
      <c r="FP9" t="e">
        <f>AND(#REF!,"AAAAAHnP+as=")</f>
        <v>#REF!</v>
      </c>
      <c r="FQ9" t="e">
        <f>IF(#REF!,"AAAAAHnP+aw=",0)</f>
        <v>#REF!</v>
      </c>
      <c r="FR9" t="e">
        <f>AND(#REF!,"AAAAAHnP+a0=")</f>
        <v>#REF!</v>
      </c>
      <c r="FS9" t="e">
        <f>AND(#REF!,"AAAAAHnP+a4=")</f>
        <v>#REF!</v>
      </c>
      <c r="FT9" t="e">
        <f>AND(#REF!,"AAAAAHnP+a8=")</f>
        <v>#REF!</v>
      </c>
      <c r="FU9" t="e">
        <f>AND(#REF!,"AAAAAHnP+bA=")</f>
        <v>#REF!</v>
      </c>
      <c r="FV9" t="e">
        <f>AND(#REF!,"AAAAAHnP+bE=")</f>
        <v>#REF!</v>
      </c>
      <c r="FW9" t="e">
        <f>AND(#REF!,"AAAAAHnP+bI=")</f>
        <v>#REF!</v>
      </c>
      <c r="FX9" t="e">
        <f>AND(#REF!,"AAAAAHnP+bM=")</f>
        <v>#REF!</v>
      </c>
      <c r="FY9" t="e">
        <f>AND(#REF!,"AAAAAHnP+bQ=")</f>
        <v>#REF!</v>
      </c>
      <c r="FZ9" t="e">
        <f>IF(#REF!,"AAAAAHnP+bU=",0)</f>
        <v>#REF!</v>
      </c>
      <c r="GA9" t="e">
        <f>AND(#REF!,"AAAAAHnP+bY=")</f>
        <v>#REF!</v>
      </c>
      <c r="GB9" t="e">
        <f>AND(#REF!,"AAAAAHnP+bc=")</f>
        <v>#REF!</v>
      </c>
      <c r="GC9" t="e">
        <f>AND(#REF!,"AAAAAHnP+bg=")</f>
        <v>#REF!</v>
      </c>
      <c r="GD9" t="e">
        <f>AND(#REF!,"AAAAAHnP+bk=")</f>
        <v>#REF!</v>
      </c>
      <c r="GE9" t="e">
        <f>AND(#REF!,"AAAAAHnP+bo=")</f>
        <v>#REF!</v>
      </c>
      <c r="GF9" t="e">
        <f>AND(#REF!,"AAAAAHnP+bs=")</f>
        <v>#REF!</v>
      </c>
      <c r="GG9" t="e">
        <f>AND(#REF!,"AAAAAHnP+bw=")</f>
        <v>#REF!</v>
      </c>
      <c r="GH9" t="e">
        <f>AND(#REF!,"AAAAAHnP+b0=")</f>
        <v>#REF!</v>
      </c>
      <c r="GI9" t="e">
        <f>IF(#REF!,"AAAAAHnP+b4=",0)</f>
        <v>#REF!</v>
      </c>
      <c r="GJ9" t="e">
        <f>AND(#REF!,"AAAAAHnP+b8=")</f>
        <v>#REF!</v>
      </c>
      <c r="GK9" t="e">
        <f>AND(#REF!,"AAAAAHnP+cA=")</f>
        <v>#REF!</v>
      </c>
      <c r="GL9" t="e">
        <f>AND(#REF!,"AAAAAHnP+cE=")</f>
        <v>#REF!</v>
      </c>
      <c r="GM9" t="e">
        <f>AND(#REF!,"AAAAAHnP+cI=")</f>
        <v>#REF!</v>
      </c>
      <c r="GN9" t="e">
        <f>AND(#REF!,"AAAAAHnP+cM=")</f>
        <v>#REF!</v>
      </c>
      <c r="GO9" t="e">
        <f>AND(#REF!,"AAAAAHnP+cQ=")</f>
        <v>#REF!</v>
      </c>
      <c r="GP9" t="e">
        <f>AND(#REF!,"AAAAAHnP+cU=")</f>
        <v>#REF!</v>
      </c>
      <c r="GQ9" t="e">
        <f>AND(#REF!,"AAAAAHnP+cY=")</f>
        <v>#REF!</v>
      </c>
      <c r="GR9" t="e">
        <f>IF(#REF!,"AAAAAHnP+cc=",0)</f>
        <v>#REF!</v>
      </c>
      <c r="GS9" t="e">
        <f>AND(#REF!,"AAAAAHnP+cg=")</f>
        <v>#REF!</v>
      </c>
      <c r="GT9" t="e">
        <f>AND(#REF!,"AAAAAHnP+ck=")</f>
        <v>#REF!</v>
      </c>
      <c r="GU9" t="e">
        <f>AND(#REF!,"AAAAAHnP+co=")</f>
        <v>#REF!</v>
      </c>
      <c r="GV9" t="e">
        <f>AND(#REF!,"AAAAAHnP+cs=")</f>
        <v>#REF!</v>
      </c>
      <c r="GW9" t="e">
        <f>AND(#REF!,"AAAAAHnP+cw=")</f>
        <v>#REF!</v>
      </c>
      <c r="GX9" t="e">
        <f>AND(#REF!,"AAAAAHnP+c0=")</f>
        <v>#REF!</v>
      </c>
      <c r="GY9" t="e">
        <f>AND(#REF!,"AAAAAHnP+c4=")</f>
        <v>#REF!</v>
      </c>
      <c r="GZ9" t="e">
        <f>AND(#REF!,"AAAAAHnP+c8=")</f>
        <v>#REF!</v>
      </c>
      <c r="HA9" t="e">
        <f>IF(#REF!,"AAAAAHnP+dA=",0)</f>
        <v>#REF!</v>
      </c>
      <c r="HB9" t="e">
        <f>AND(#REF!,"AAAAAHnP+dE=")</f>
        <v>#REF!</v>
      </c>
      <c r="HC9" t="e">
        <f>AND(#REF!,"AAAAAHnP+dI=")</f>
        <v>#REF!</v>
      </c>
      <c r="HD9" t="e">
        <f>AND(#REF!,"AAAAAHnP+dM=")</f>
        <v>#REF!</v>
      </c>
      <c r="HE9" t="e">
        <f>AND(#REF!,"AAAAAHnP+dQ=")</f>
        <v>#REF!</v>
      </c>
      <c r="HF9" t="e">
        <f>AND(#REF!,"AAAAAHnP+dU=")</f>
        <v>#REF!</v>
      </c>
      <c r="HG9" t="e">
        <f>AND(#REF!,"AAAAAHnP+dY=")</f>
        <v>#REF!</v>
      </c>
      <c r="HH9" t="e">
        <f>AND(#REF!,"AAAAAHnP+dc=")</f>
        <v>#REF!</v>
      </c>
      <c r="HI9" t="e">
        <f>AND(#REF!,"AAAAAHnP+dg=")</f>
        <v>#REF!</v>
      </c>
      <c r="HJ9" t="e">
        <f>IF(#REF!,"AAAAAHnP+dk=",0)</f>
        <v>#REF!</v>
      </c>
      <c r="HK9" t="e">
        <f>AND(#REF!,"AAAAAHnP+do=")</f>
        <v>#REF!</v>
      </c>
      <c r="HL9" t="e">
        <f>AND(#REF!,"AAAAAHnP+ds=")</f>
        <v>#REF!</v>
      </c>
      <c r="HM9" t="e">
        <f>AND(#REF!,"AAAAAHnP+dw=")</f>
        <v>#REF!</v>
      </c>
      <c r="HN9" t="e">
        <f>AND(#REF!,"AAAAAHnP+d0=")</f>
        <v>#REF!</v>
      </c>
      <c r="HO9" t="e">
        <f>AND(#REF!,"AAAAAHnP+d4=")</f>
        <v>#REF!</v>
      </c>
      <c r="HP9" t="e">
        <f>AND(#REF!,"AAAAAHnP+d8=")</f>
        <v>#REF!</v>
      </c>
      <c r="HQ9" t="e">
        <f>AND(#REF!,"AAAAAHnP+eA=")</f>
        <v>#REF!</v>
      </c>
      <c r="HR9" t="e">
        <f>AND(#REF!,"AAAAAHnP+eE=")</f>
        <v>#REF!</v>
      </c>
      <c r="HS9" t="e">
        <f>IF(#REF!,"AAAAAHnP+eI=",0)</f>
        <v>#REF!</v>
      </c>
      <c r="HT9" t="e">
        <f>AND(#REF!,"AAAAAHnP+eM=")</f>
        <v>#REF!</v>
      </c>
      <c r="HU9" t="e">
        <f>AND(#REF!,"AAAAAHnP+eQ=")</f>
        <v>#REF!</v>
      </c>
      <c r="HV9" t="e">
        <f>AND(#REF!,"AAAAAHnP+eU=")</f>
        <v>#REF!</v>
      </c>
      <c r="HW9" t="e">
        <f>AND(#REF!,"AAAAAHnP+eY=")</f>
        <v>#REF!</v>
      </c>
      <c r="HX9" t="e">
        <f>AND(#REF!,"AAAAAHnP+ec=")</f>
        <v>#REF!</v>
      </c>
      <c r="HY9" t="e">
        <f>AND(#REF!,"AAAAAHnP+eg=")</f>
        <v>#REF!</v>
      </c>
      <c r="HZ9" t="e">
        <f>AND(#REF!,"AAAAAHnP+ek=")</f>
        <v>#REF!</v>
      </c>
      <c r="IA9" t="e">
        <f>AND(#REF!,"AAAAAHnP+eo=")</f>
        <v>#REF!</v>
      </c>
      <c r="IB9" t="e">
        <f>IF(#REF!,"AAAAAHnP+es=",0)</f>
        <v>#REF!</v>
      </c>
      <c r="IC9" t="e">
        <f>AND(#REF!,"AAAAAHnP+ew=")</f>
        <v>#REF!</v>
      </c>
      <c r="ID9" t="e">
        <f>AND(#REF!,"AAAAAHnP+e0=")</f>
        <v>#REF!</v>
      </c>
      <c r="IE9" t="e">
        <f>AND(#REF!,"AAAAAHnP+e4=")</f>
        <v>#REF!</v>
      </c>
      <c r="IF9" t="e">
        <f>AND(#REF!,"AAAAAHnP+e8=")</f>
        <v>#REF!</v>
      </c>
      <c r="IG9" t="e">
        <f>AND(#REF!,"AAAAAHnP+fA=")</f>
        <v>#REF!</v>
      </c>
      <c r="IH9" t="e">
        <f>AND(#REF!,"AAAAAHnP+fE=")</f>
        <v>#REF!</v>
      </c>
      <c r="II9" t="e">
        <f>AND(#REF!,"AAAAAHnP+fI=")</f>
        <v>#REF!</v>
      </c>
      <c r="IJ9" t="e">
        <f>AND(#REF!,"AAAAAHnP+fM=")</f>
        <v>#REF!</v>
      </c>
      <c r="IK9" t="e">
        <f>IF(#REF!,"AAAAAHnP+fQ=",0)</f>
        <v>#REF!</v>
      </c>
      <c r="IL9" t="e">
        <f>IF(#REF!,"AAAAAHnP+fU=",0)</f>
        <v>#REF!</v>
      </c>
      <c r="IM9" t="e">
        <f>IF(#REF!,"AAAAAHnP+fY=",0)</f>
        <v>#REF!</v>
      </c>
      <c r="IN9" t="e">
        <f>IF(#REF!,"AAAAAHnP+fc=",0)</f>
        <v>#REF!</v>
      </c>
      <c r="IO9" t="e">
        <f>IF(#REF!,"AAAAAHnP+fg=",0)</f>
        <v>#REF!</v>
      </c>
      <c r="IP9" t="e">
        <f>IF(#REF!,"AAAAAHnP+fk=",0)</f>
        <v>#REF!</v>
      </c>
      <c r="IQ9" t="e">
        <f>IF(#REF!,"AAAAAHnP+fo=",0)</f>
        <v>#REF!</v>
      </c>
      <c r="IR9" t="e">
        <f>IF(#REF!,"AAAAAHnP+fs=",0)</f>
        <v>#REF!</v>
      </c>
      <c r="IS9" t="e">
        <f>IF(#REF!,"AAAAAHnP+fw=",0)</f>
        <v>#REF!</v>
      </c>
      <c r="IT9" t="e">
        <f>IF(#REF!,"AAAAAHnP+f0=",0)</f>
        <v>#REF!</v>
      </c>
      <c r="IU9" t="e">
        <f>IF(#REF!,"AAAAAHnP+f4=",0)</f>
        <v>#REF!</v>
      </c>
      <c r="IV9" t="e">
        <f>IF(#REF!,"AAAAAHnP+f8=",0)</f>
        <v>#REF!</v>
      </c>
    </row>
    <row r="10" spans="1:256" x14ac:dyDescent="0.2">
      <c r="A10" t="e">
        <f>IF(#REF!,"AAAAAHbtNgA=",0)</f>
        <v>#REF!</v>
      </c>
      <c r="B10" t="e">
        <f>IF(#REF!,"AAAAAHbtNgE=",0)</f>
        <v>#REF!</v>
      </c>
      <c r="C10" t="e">
        <f>IF(#REF!,"AAAAAHbtNgI=",0)</f>
        <v>#REF!</v>
      </c>
      <c r="D10" t="e">
        <f>IF(#REF!,"AAAAAHbtNgM=",0)</f>
        <v>#REF!</v>
      </c>
      <c r="E10" t="e">
        <f>IF(#REF!,"AAAAAHbtNgQ=",0)</f>
        <v>#REF!</v>
      </c>
      <c r="F10" t="e">
        <f>IF(#REF!,"AAAAAHbtNgU=",0)</f>
        <v>#REF!</v>
      </c>
      <c r="G10" t="e">
        <f>IF(#REF!,"AAAAAHbtNgY=",0)</f>
        <v>#REF!</v>
      </c>
      <c r="H10" t="e">
        <f>AND(#REF!,"AAAAAHbtNgc=")</f>
        <v>#REF!</v>
      </c>
      <c r="I10" t="e">
        <f>AND(#REF!,"AAAAAHbtNgg=")</f>
        <v>#REF!</v>
      </c>
      <c r="J10" t="e">
        <f>AND(#REF!,"AAAAAHbtNgk=")</f>
        <v>#REF!</v>
      </c>
      <c r="K10" t="e">
        <f>AND(#REF!,"AAAAAHbtNgo=")</f>
        <v>#REF!</v>
      </c>
      <c r="L10" t="e">
        <f>AND(#REF!,"AAAAAHbtNgs=")</f>
        <v>#REF!</v>
      </c>
      <c r="M10" t="e">
        <f>AND(#REF!,"AAAAAHbtNgw=")</f>
        <v>#REF!</v>
      </c>
      <c r="N10" t="e">
        <f>AND(#REF!,"AAAAAHbtNg0=")</f>
        <v>#REF!</v>
      </c>
      <c r="O10" t="e">
        <f>AND(#REF!,"AAAAAHbtNg4=")</f>
        <v>#REF!</v>
      </c>
      <c r="P10" t="e">
        <f>AND(#REF!,"AAAAAHbtNg8=")</f>
        <v>#REF!</v>
      </c>
      <c r="Q10" t="e">
        <f>AND(#REF!,"AAAAAHbtNhA=")</f>
        <v>#REF!</v>
      </c>
      <c r="R10" t="e">
        <f>AND(#REF!,"AAAAAHbtNhE=")</f>
        <v>#REF!</v>
      </c>
      <c r="S10" t="e">
        <f>AND(#REF!,"AAAAAHbtNhI=")</f>
        <v>#REF!</v>
      </c>
      <c r="T10" t="e">
        <f>AND(#REF!,"AAAAAHbtNhM=")</f>
        <v>#REF!</v>
      </c>
      <c r="U10" t="e">
        <f>AND(#REF!,"AAAAAHbtNhQ=")</f>
        <v>#REF!</v>
      </c>
      <c r="V10" t="e">
        <f>AND(#REF!,"AAAAAHbtNhU=")</f>
        <v>#REF!</v>
      </c>
      <c r="W10" t="e">
        <f>AND(#REF!,"AAAAAHbtNhY=")</f>
        <v>#REF!</v>
      </c>
      <c r="X10" t="e">
        <f>AND(#REF!,"AAAAAHbtNhc=")</f>
        <v>#REF!</v>
      </c>
      <c r="Y10" t="e">
        <f>IF(#REF!,"AAAAAHbtNhg=",0)</f>
        <v>#REF!</v>
      </c>
      <c r="Z10" t="e">
        <f>AND(#REF!,"AAAAAHbtNhk=")</f>
        <v>#REF!</v>
      </c>
      <c r="AA10" t="e">
        <f>AND(#REF!,"AAAAAHbtNho=")</f>
        <v>#REF!</v>
      </c>
      <c r="AB10" t="e">
        <f>AND(#REF!,"AAAAAHbtNhs=")</f>
        <v>#REF!</v>
      </c>
      <c r="AC10" t="e">
        <f>AND(#REF!,"AAAAAHbtNhw=")</f>
        <v>#REF!</v>
      </c>
      <c r="AD10" t="e">
        <f>AND(#REF!,"AAAAAHbtNh0=")</f>
        <v>#REF!</v>
      </c>
      <c r="AE10" t="e">
        <f>AND(#REF!,"AAAAAHbtNh4=")</f>
        <v>#REF!</v>
      </c>
      <c r="AF10" t="e">
        <f>AND(#REF!,"AAAAAHbtNh8=")</f>
        <v>#REF!</v>
      </c>
      <c r="AG10" t="e">
        <f>AND(#REF!,"AAAAAHbtNiA=")</f>
        <v>#REF!</v>
      </c>
      <c r="AH10" t="e">
        <f>AND(#REF!,"AAAAAHbtNiE=")</f>
        <v>#REF!</v>
      </c>
      <c r="AI10" t="e">
        <f>AND(#REF!,"AAAAAHbtNiI=")</f>
        <v>#REF!</v>
      </c>
      <c r="AJ10" t="e">
        <f>AND(#REF!,"AAAAAHbtNiM=")</f>
        <v>#REF!</v>
      </c>
      <c r="AK10" t="e">
        <f>AND(#REF!,"AAAAAHbtNiQ=")</f>
        <v>#REF!</v>
      </c>
      <c r="AL10" t="e">
        <f>AND(#REF!,"AAAAAHbtNiU=")</f>
        <v>#REF!</v>
      </c>
      <c r="AM10" t="e">
        <f>AND(#REF!,"AAAAAHbtNiY=")</f>
        <v>#REF!</v>
      </c>
      <c r="AN10" t="e">
        <f>AND(#REF!,"AAAAAHbtNic=")</f>
        <v>#REF!</v>
      </c>
      <c r="AO10" t="e">
        <f>AND(#REF!,"AAAAAHbtNig=")</f>
        <v>#REF!</v>
      </c>
      <c r="AP10" t="e">
        <f>AND(#REF!,"AAAAAHbtNik=")</f>
        <v>#REF!</v>
      </c>
      <c r="AQ10" t="e">
        <f>IF(#REF!,"AAAAAHbtNio=",0)</f>
        <v>#REF!</v>
      </c>
      <c r="AR10" t="e">
        <f>AND(#REF!,"AAAAAHbtNis=")</f>
        <v>#REF!</v>
      </c>
      <c r="AS10" t="e">
        <f>AND(#REF!,"AAAAAHbtNiw=")</f>
        <v>#REF!</v>
      </c>
      <c r="AT10" t="e">
        <f>AND(#REF!,"AAAAAHbtNi0=")</f>
        <v>#REF!</v>
      </c>
      <c r="AU10" t="e">
        <f>AND(#REF!,"AAAAAHbtNi4=")</f>
        <v>#REF!</v>
      </c>
      <c r="AV10" t="e">
        <f>AND(#REF!,"AAAAAHbtNi8=")</f>
        <v>#REF!</v>
      </c>
      <c r="AW10" t="e">
        <f>AND(#REF!,"AAAAAHbtNjA=")</f>
        <v>#REF!</v>
      </c>
      <c r="AX10" t="e">
        <f>AND(#REF!,"AAAAAHbtNjE=")</f>
        <v>#REF!</v>
      </c>
      <c r="AY10" t="e">
        <f>AND(#REF!,"AAAAAHbtNjI=")</f>
        <v>#REF!</v>
      </c>
      <c r="AZ10" t="e">
        <f>AND(#REF!,"AAAAAHbtNjM=")</f>
        <v>#REF!</v>
      </c>
      <c r="BA10" t="e">
        <f>AND(#REF!,"AAAAAHbtNjQ=")</f>
        <v>#REF!</v>
      </c>
      <c r="BB10" t="e">
        <f>AND(#REF!,"AAAAAHbtNjU=")</f>
        <v>#REF!</v>
      </c>
      <c r="BC10" t="e">
        <f>AND(#REF!,"AAAAAHbtNjY=")</f>
        <v>#REF!</v>
      </c>
      <c r="BD10" t="e">
        <f>AND(#REF!,"AAAAAHbtNjc=")</f>
        <v>#REF!</v>
      </c>
      <c r="BE10" t="e">
        <f>AND(#REF!,"AAAAAHbtNjg=")</f>
        <v>#REF!</v>
      </c>
      <c r="BF10" t="e">
        <f>AND(#REF!,"AAAAAHbtNjk=")</f>
        <v>#REF!</v>
      </c>
      <c r="BG10" t="e">
        <f>AND(#REF!,"AAAAAHbtNjo=")</f>
        <v>#REF!</v>
      </c>
      <c r="BH10" t="e">
        <f>AND(#REF!,"AAAAAHbtNjs=")</f>
        <v>#REF!</v>
      </c>
      <c r="BI10" t="e">
        <f>IF(#REF!,"AAAAAHbtNjw=",0)</f>
        <v>#REF!</v>
      </c>
      <c r="BJ10" t="e">
        <f>AND(#REF!,"AAAAAHbtNj0=")</f>
        <v>#REF!</v>
      </c>
      <c r="BK10" t="e">
        <f>AND(#REF!,"AAAAAHbtNj4=")</f>
        <v>#REF!</v>
      </c>
      <c r="BL10" t="e">
        <f>AND(#REF!,"AAAAAHbtNj8=")</f>
        <v>#REF!</v>
      </c>
      <c r="BM10" t="e">
        <f>AND(#REF!,"AAAAAHbtNkA=")</f>
        <v>#REF!</v>
      </c>
      <c r="BN10" t="e">
        <f>AND(#REF!,"AAAAAHbtNkE=")</f>
        <v>#REF!</v>
      </c>
      <c r="BO10" t="e">
        <f>AND(#REF!,"AAAAAHbtNkI=")</f>
        <v>#REF!</v>
      </c>
      <c r="BP10" t="e">
        <f>AND(#REF!,"AAAAAHbtNkM=")</f>
        <v>#REF!</v>
      </c>
      <c r="BQ10" t="e">
        <f>AND(#REF!,"AAAAAHbtNkQ=")</f>
        <v>#REF!</v>
      </c>
      <c r="BR10" t="e">
        <f>AND(#REF!,"AAAAAHbtNkU=")</f>
        <v>#REF!</v>
      </c>
      <c r="BS10" t="e">
        <f>AND(#REF!,"AAAAAHbtNkY=")</f>
        <v>#REF!</v>
      </c>
      <c r="BT10" t="e">
        <f>AND(#REF!,"AAAAAHbtNkc=")</f>
        <v>#REF!</v>
      </c>
      <c r="BU10" t="e">
        <f>AND(#REF!,"AAAAAHbtNkg=")</f>
        <v>#REF!</v>
      </c>
      <c r="BV10" t="e">
        <f>AND(#REF!,"AAAAAHbtNkk=")</f>
        <v>#REF!</v>
      </c>
      <c r="BW10" t="e">
        <f>AND(#REF!,"AAAAAHbtNko=")</f>
        <v>#REF!</v>
      </c>
      <c r="BX10" t="e">
        <f>AND(#REF!,"AAAAAHbtNks=")</f>
        <v>#REF!</v>
      </c>
      <c r="BY10" t="e">
        <f>AND(#REF!,"AAAAAHbtNkw=")</f>
        <v>#REF!</v>
      </c>
      <c r="BZ10" t="e">
        <f>AND(#REF!,"AAAAAHbtNk0=")</f>
        <v>#REF!</v>
      </c>
      <c r="CA10" t="e">
        <f>IF(#REF!,"AAAAAHbtNk4=",0)</f>
        <v>#REF!</v>
      </c>
      <c r="CB10" t="e">
        <f>AND(#REF!,"AAAAAHbtNk8=")</f>
        <v>#REF!</v>
      </c>
      <c r="CC10" t="e">
        <f>AND(#REF!,"AAAAAHbtNlA=")</f>
        <v>#REF!</v>
      </c>
      <c r="CD10" t="e">
        <f>AND(#REF!,"AAAAAHbtNlE=")</f>
        <v>#REF!</v>
      </c>
      <c r="CE10" t="e">
        <f>AND(#REF!,"AAAAAHbtNlI=")</f>
        <v>#REF!</v>
      </c>
      <c r="CF10" t="e">
        <f>AND(#REF!,"AAAAAHbtNlM=")</f>
        <v>#REF!</v>
      </c>
      <c r="CG10" t="e">
        <f>AND(#REF!,"AAAAAHbtNlQ=")</f>
        <v>#REF!</v>
      </c>
      <c r="CH10" t="e">
        <f>AND(#REF!,"AAAAAHbtNlU=")</f>
        <v>#REF!</v>
      </c>
      <c r="CI10" t="e">
        <f>AND(#REF!,"AAAAAHbtNlY=")</f>
        <v>#REF!</v>
      </c>
      <c r="CJ10" t="e">
        <f>AND(#REF!,"AAAAAHbtNlc=")</f>
        <v>#REF!</v>
      </c>
      <c r="CK10" t="e">
        <f>AND(#REF!,"AAAAAHbtNlg=")</f>
        <v>#REF!</v>
      </c>
      <c r="CL10" t="e">
        <f>AND(#REF!,"AAAAAHbtNlk=")</f>
        <v>#REF!</v>
      </c>
      <c r="CM10" t="e">
        <f>AND(#REF!,"AAAAAHbtNlo=")</f>
        <v>#REF!</v>
      </c>
      <c r="CN10" t="e">
        <f>AND(#REF!,"AAAAAHbtNls=")</f>
        <v>#REF!</v>
      </c>
      <c r="CO10" t="e">
        <f>AND(#REF!,"AAAAAHbtNlw=")</f>
        <v>#REF!</v>
      </c>
      <c r="CP10" t="e">
        <f>AND(#REF!,"AAAAAHbtNl0=")</f>
        <v>#REF!</v>
      </c>
      <c r="CQ10" t="e">
        <f>AND(#REF!,"AAAAAHbtNl4=")</f>
        <v>#REF!</v>
      </c>
      <c r="CR10" t="e">
        <f>AND(#REF!,"AAAAAHbtNl8=")</f>
        <v>#REF!</v>
      </c>
      <c r="CS10" t="e">
        <f>IF(#REF!,"AAAAAHbtNmA=",0)</f>
        <v>#REF!</v>
      </c>
      <c r="CT10" t="e">
        <f>AND(#REF!,"AAAAAHbtNmE=")</f>
        <v>#REF!</v>
      </c>
      <c r="CU10" t="e">
        <f>AND(#REF!,"AAAAAHbtNmI=")</f>
        <v>#REF!</v>
      </c>
      <c r="CV10" t="e">
        <f>AND(#REF!,"AAAAAHbtNmM=")</f>
        <v>#REF!</v>
      </c>
      <c r="CW10" t="e">
        <f>AND(#REF!,"AAAAAHbtNmQ=")</f>
        <v>#REF!</v>
      </c>
      <c r="CX10" t="e">
        <f>AND(#REF!,"AAAAAHbtNmU=")</f>
        <v>#REF!</v>
      </c>
      <c r="CY10" t="e">
        <f>AND(#REF!,"AAAAAHbtNmY=")</f>
        <v>#REF!</v>
      </c>
      <c r="CZ10" t="e">
        <f>AND(#REF!,"AAAAAHbtNmc=")</f>
        <v>#REF!</v>
      </c>
      <c r="DA10" t="e">
        <f>AND(#REF!,"AAAAAHbtNmg=")</f>
        <v>#REF!</v>
      </c>
      <c r="DB10" t="e">
        <f>AND(#REF!,"AAAAAHbtNmk=")</f>
        <v>#REF!</v>
      </c>
      <c r="DC10" t="e">
        <f>AND(#REF!,"AAAAAHbtNmo=")</f>
        <v>#REF!</v>
      </c>
      <c r="DD10" t="e">
        <f>AND(#REF!,"AAAAAHbtNms=")</f>
        <v>#REF!</v>
      </c>
      <c r="DE10" t="e">
        <f>AND(#REF!,"AAAAAHbtNmw=")</f>
        <v>#REF!</v>
      </c>
      <c r="DF10" t="e">
        <f>AND(#REF!,"AAAAAHbtNm0=")</f>
        <v>#REF!</v>
      </c>
      <c r="DG10" t="e">
        <f>AND(#REF!,"AAAAAHbtNm4=")</f>
        <v>#REF!</v>
      </c>
      <c r="DH10" t="e">
        <f>AND(#REF!,"AAAAAHbtNm8=")</f>
        <v>#REF!</v>
      </c>
      <c r="DI10" t="e">
        <f>AND(#REF!,"AAAAAHbtNnA=")</f>
        <v>#REF!</v>
      </c>
      <c r="DJ10" t="e">
        <f>AND(#REF!,"AAAAAHbtNnE=")</f>
        <v>#REF!</v>
      </c>
      <c r="DK10" t="e">
        <f>IF(#REF!,"AAAAAHbtNnI=",0)</f>
        <v>#REF!</v>
      </c>
      <c r="DL10" t="e">
        <f>AND(#REF!,"AAAAAHbtNnM=")</f>
        <v>#REF!</v>
      </c>
      <c r="DM10" t="e">
        <f>AND(#REF!,"AAAAAHbtNnQ=")</f>
        <v>#REF!</v>
      </c>
      <c r="DN10" t="e">
        <f>AND(#REF!,"AAAAAHbtNnU=")</f>
        <v>#REF!</v>
      </c>
      <c r="DO10" t="e">
        <f>AND(#REF!,"AAAAAHbtNnY=")</f>
        <v>#REF!</v>
      </c>
      <c r="DP10" t="e">
        <f>AND(#REF!,"AAAAAHbtNnc=")</f>
        <v>#REF!</v>
      </c>
      <c r="DQ10" t="e">
        <f>AND(#REF!,"AAAAAHbtNng=")</f>
        <v>#REF!</v>
      </c>
      <c r="DR10" t="e">
        <f>AND(#REF!,"AAAAAHbtNnk=")</f>
        <v>#REF!</v>
      </c>
      <c r="DS10" t="e">
        <f>AND(#REF!,"AAAAAHbtNno=")</f>
        <v>#REF!</v>
      </c>
      <c r="DT10" t="e">
        <f>AND(#REF!,"AAAAAHbtNns=")</f>
        <v>#REF!</v>
      </c>
      <c r="DU10" t="e">
        <f>AND(#REF!,"AAAAAHbtNnw=")</f>
        <v>#REF!</v>
      </c>
      <c r="DV10" t="e">
        <f>AND(#REF!,"AAAAAHbtNn0=")</f>
        <v>#REF!</v>
      </c>
      <c r="DW10" t="e">
        <f>AND(#REF!,"AAAAAHbtNn4=")</f>
        <v>#REF!</v>
      </c>
      <c r="DX10" t="e">
        <f>AND(#REF!,"AAAAAHbtNn8=")</f>
        <v>#REF!</v>
      </c>
      <c r="DY10" t="e">
        <f>AND(#REF!,"AAAAAHbtNoA=")</f>
        <v>#REF!</v>
      </c>
      <c r="DZ10" t="e">
        <f>AND(#REF!,"AAAAAHbtNoE=")</f>
        <v>#REF!</v>
      </c>
      <c r="EA10" t="e">
        <f>AND(#REF!,"AAAAAHbtNoI=")</f>
        <v>#REF!</v>
      </c>
      <c r="EB10" t="e">
        <f>AND(#REF!,"AAAAAHbtNoM=")</f>
        <v>#REF!</v>
      </c>
      <c r="EC10" t="e">
        <f>IF(#REF!,"AAAAAHbtNoQ=",0)</f>
        <v>#REF!</v>
      </c>
      <c r="ED10" t="e">
        <f>AND(#REF!,"AAAAAHbtNoU=")</f>
        <v>#REF!</v>
      </c>
      <c r="EE10" t="e">
        <f>AND(#REF!,"AAAAAHbtNoY=")</f>
        <v>#REF!</v>
      </c>
      <c r="EF10" t="e">
        <f>AND(#REF!,"AAAAAHbtNoc=")</f>
        <v>#REF!</v>
      </c>
      <c r="EG10" t="e">
        <f>AND(#REF!,"AAAAAHbtNog=")</f>
        <v>#REF!</v>
      </c>
      <c r="EH10" t="e">
        <f>AND(#REF!,"AAAAAHbtNok=")</f>
        <v>#REF!</v>
      </c>
      <c r="EI10" t="e">
        <f>AND(#REF!,"AAAAAHbtNoo=")</f>
        <v>#REF!</v>
      </c>
      <c r="EJ10" t="e">
        <f>AND(#REF!,"AAAAAHbtNos=")</f>
        <v>#REF!</v>
      </c>
      <c r="EK10" t="e">
        <f>AND(#REF!,"AAAAAHbtNow=")</f>
        <v>#REF!</v>
      </c>
      <c r="EL10" t="e">
        <f>AND(#REF!,"AAAAAHbtNo0=")</f>
        <v>#REF!</v>
      </c>
      <c r="EM10" t="e">
        <f>AND(#REF!,"AAAAAHbtNo4=")</f>
        <v>#REF!</v>
      </c>
      <c r="EN10" t="e">
        <f>AND(#REF!,"AAAAAHbtNo8=")</f>
        <v>#REF!</v>
      </c>
      <c r="EO10" t="e">
        <f>AND(#REF!,"AAAAAHbtNpA=")</f>
        <v>#REF!</v>
      </c>
      <c r="EP10" t="e">
        <f>AND(#REF!,"AAAAAHbtNpE=")</f>
        <v>#REF!</v>
      </c>
      <c r="EQ10" t="e">
        <f>AND(#REF!,"AAAAAHbtNpI=")</f>
        <v>#REF!</v>
      </c>
      <c r="ER10" t="e">
        <f>AND(#REF!,"AAAAAHbtNpM=")</f>
        <v>#REF!</v>
      </c>
      <c r="ES10" t="e">
        <f>AND(#REF!,"AAAAAHbtNpQ=")</f>
        <v>#REF!</v>
      </c>
      <c r="ET10" t="e">
        <f>AND(#REF!,"AAAAAHbtNpU=")</f>
        <v>#REF!</v>
      </c>
      <c r="EU10" t="e">
        <f>IF(#REF!,"AAAAAHbtNpY=",0)</f>
        <v>#REF!</v>
      </c>
      <c r="EV10" t="e">
        <f>AND(#REF!,"AAAAAHbtNpc=")</f>
        <v>#REF!</v>
      </c>
      <c r="EW10" t="e">
        <f>AND(#REF!,"AAAAAHbtNpg=")</f>
        <v>#REF!</v>
      </c>
      <c r="EX10" t="e">
        <f>AND(#REF!,"AAAAAHbtNpk=")</f>
        <v>#REF!</v>
      </c>
      <c r="EY10" t="e">
        <f>AND(#REF!,"AAAAAHbtNpo=")</f>
        <v>#REF!</v>
      </c>
      <c r="EZ10" t="e">
        <f>AND(#REF!,"AAAAAHbtNps=")</f>
        <v>#REF!</v>
      </c>
      <c r="FA10" t="e">
        <f>AND(#REF!,"AAAAAHbtNpw=")</f>
        <v>#REF!</v>
      </c>
      <c r="FB10" t="e">
        <f>AND(#REF!,"AAAAAHbtNp0=")</f>
        <v>#REF!</v>
      </c>
      <c r="FC10" t="e">
        <f>AND(#REF!,"AAAAAHbtNp4=")</f>
        <v>#REF!</v>
      </c>
      <c r="FD10" t="e">
        <f>AND(#REF!,"AAAAAHbtNp8=")</f>
        <v>#REF!</v>
      </c>
      <c r="FE10" t="e">
        <f>AND(#REF!,"AAAAAHbtNqA=")</f>
        <v>#REF!</v>
      </c>
      <c r="FF10" t="e">
        <f>AND(#REF!,"AAAAAHbtNqE=")</f>
        <v>#REF!</v>
      </c>
      <c r="FG10" t="e">
        <f>AND(#REF!,"AAAAAHbtNqI=")</f>
        <v>#REF!</v>
      </c>
      <c r="FH10" t="e">
        <f>AND(#REF!,"AAAAAHbtNqM=")</f>
        <v>#REF!</v>
      </c>
      <c r="FI10" t="e">
        <f>AND(#REF!,"AAAAAHbtNqQ=")</f>
        <v>#REF!</v>
      </c>
      <c r="FJ10" t="e">
        <f>AND(#REF!,"AAAAAHbtNqU=")</f>
        <v>#REF!</v>
      </c>
      <c r="FK10" t="e">
        <f>AND(#REF!,"AAAAAHbtNqY=")</f>
        <v>#REF!</v>
      </c>
      <c r="FL10" t="e">
        <f>AND(#REF!,"AAAAAHbtNqc=")</f>
        <v>#REF!</v>
      </c>
      <c r="FM10" t="e">
        <f>IF(#REF!,"AAAAAHbtNqg=",0)</f>
        <v>#REF!</v>
      </c>
      <c r="FN10" t="e">
        <f>AND(#REF!,"AAAAAHbtNqk=")</f>
        <v>#REF!</v>
      </c>
      <c r="FO10" t="e">
        <f>AND(#REF!,"AAAAAHbtNqo=")</f>
        <v>#REF!</v>
      </c>
      <c r="FP10" t="e">
        <f>AND(#REF!,"AAAAAHbtNqs=")</f>
        <v>#REF!</v>
      </c>
      <c r="FQ10" t="e">
        <f>AND(#REF!,"AAAAAHbtNqw=")</f>
        <v>#REF!</v>
      </c>
      <c r="FR10" t="e">
        <f>AND(#REF!,"AAAAAHbtNq0=")</f>
        <v>#REF!</v>
      </c>
      <c r="FS10" t="e">
        <f>AND(#REF!,"AAAAAHbtNq4=")</f>
        <v>#REF!</v>
      </c>
      <c r="FT10" t="e">
        <f>AND(#REF!,"AAAAAHbtNq8=")</f>
        <v>#REF!</v>
      </c>
      <c r="FU10" t="e">
        <f>IF(#REF!,"AAAAAHbtNrA=",0)</f>
        <v>#REF!</v>
      </c>
      <c r="FV10" t="e">
        <f>AND(#REF!,"AAAAAHbtNrE=")</f>
        <v>#REF!</v>
      </c>
      <c r="FW10" t="e">
        <f>AND(#REF!,"AAAAAHbtNrI=")</f>
        <v>#REF!</v>
      </c>
      <c r="FX10" t="e">
        <f>AND(#REF!,"AAAAAHbtNrM=")</f>
        <v>#REF!</v>
      </c>
      <c r="FY10" t="e">
        <f>AND(#REF!,"AAAAAHbtNrQ=")</f>
        <v>#REF!</v>
      </c>
      <c r="FZ10" t="e">
        <f>AND(#REF!,"AAAAAHbtNrU=")</f>
        <v>#REF!</v>
      </c>
      <c r="GA10" t="e">
        <f>AND(#REF!,"AAAAAHbtNrY=")</f>
        <v>#REF!</v>
      </c>
      <c r="GB10" t="e">
        <f>AND(#REF!,"AAAAAHbtNrc=")</f>
        <v>#REF!</v>
      </c>
      <c r="GC10" t="e">
        <f>IF(#REF!,"AAAAAHbtNrg=",0)</f>
        <v>#REF!</v>
      </c>
      <c r="GD10" t="e">
        <f>AND(#REF!,"AAAAAHbtNrk=")</f>
        <v>#REF!</v>
      </c>
      <c r="GE10" t="e">
        <f>AND(#REF!,"AAAAAHbtNro=")</f>
        <v>#REF!</v>
      </c>
      <c r="GF10" t="e">
        <f>AND(#REF!,"AAAAAHbtNrs=")</f>
        <v>#REF!</v>
      </c>
      <c r="GG10" t="e">
        <f>AND(#REF!,"AAAAAHbtNrw=")</f>
        <v>#REF!</v>
      </c>
      <c r="GH10" t="e">
        <f>AND(#REF!,"AAAAAHbtNr0=")</f>
        <v>#REF!</v>
      </c>
      <c r="GI10" t="e">
        <f>AND(#REF!,"AAAAAHbtNr4=")</f>
        <v>#REF!</v>
      </c>
      <c r="GJ10" t="e">
        <f>AND(#REF!,"AAAAAHbtNr8=")</f>
        <v>#REF!</v>
      </c>
      <c r="GK10" t="e">
        <f>IF(#REF!,"AAAAAHbtNsA=",0)</f>
        <v>#REF!</v>
      </c>
      <c r="GL10" t="e">
        <f>AND(#REF!,"AAAAAHbtNsE=")</f>
        <v>#REF!</v>
      </c>
      <c r="GM10" t="e">
        <f>AND(#REF!,"AAAAAHbtNsI=")</f>
        <v>#REF!</v>
      </c>
      <c r="GN10" t="e">
        <f>AND(#REF!,"AAAAAHbtNsM=")</f>
        <v>#REF!</v>
      </c>
      <c r="GO10" t="e">
        <f>AND(#REF!,"AAAAAHbtNsQ=")</f>
        <v>#REF!</v>
      </c>
      <c r="GP10" t="e">
        <f>AND(#REF!,"AAAAAHbtNsU=")</f>
        <v>#REF!</v>
      </c>
      <c r="GQ10" t="e">
        <f>AND(#REF!,"AAAAAHbtNsY=")</f>
        <v>#REF!</v>
      </c>
      <c r="GR10" t="e">
        <f>AND(#REF!,"AAAAAHbtNsc=")</f>
        <v>#REF!</v>
      </c>
      <c r="GS10" t="e">
        <f>IF(#REF!,"AAAAAHbtNsg=",0)</f>
        <v>#REF!</v>
      </c>
      <c r="GT10" t="e">
        <f>AND(#REF!,"AAAAAHbtNsk=")</f>
        <v>#REF!</v>
      </c>
      <c r="GU10" t="e">
        <f>AND(#REF!,"AAAAAHbtNso=")</f>
        <v>#REF!</v>
      </c>
      <c r="GV10" t="e">
        <f>AND(#REF!,"AAAAAHbtNss=")</f>
        <v>#REF!</v>
      </c>
      <c r="GW10" t="e">
        <f>AND(#REF!,"AAAAAHbtNsw=")</f>
        <v>#REF!</v>
      </c>
      <c r="GX10" t="e">
        <f>AND(#REF!,"AAAAAHbtNs0=")</f>
        <v>#REF!</v>
      </c>
      <c r="GY10" t="e">
        <f>AND(#REF!,"AAAAAHbtNs4=")</f>
        <v>#REF!</v>
      </c>
      <c r="GZ10" t="e">
        <f>AND(#REF!,"AAAAAHbtNs8=")</f>
        <v>#REF!</v>
      </c>
      <c r="HA10" t="e">
        <f>IF(#REF!,"AAAAAHbtNtA=",0)</f>
        <v>#REF!</v>
      </c>
      <c r="HB10" t="e">
        <f>IF(#REF!,"AAAAAHbtNtE=",0)</f>
        <v>#REF!</v>
      </c>
      <c r="HC10" t="e">
        <f>IF(#REF!,"AAAAAHbtNtI=",0)</f>
        <v>#REF!</v>
      </c>
      <c r="HD10" t="e">
        <f>IF(#REF!,"AAAAAHbtNtM=",0)</f>
        <v>#REF!</v>
      </c>
      <c r="HE10" t="e">
        <f>IF(#REF!,"AAAAAHbtNtQ=",0)</f>
        <v>#REF!</v>
      </c>
      <c r="HF10" t="e">
        <f>IF(#REF!,"AAAAAHbtNtU=",0)</f>
        <v>#REF!</v>
      </c>
      <c r="HG10" t="e">
        <f>IF(#REF!,"AAAAAHbtNtY=",0)</f>
        <v>#REF!</v>
      </c>
      <c r="HH10" t="e">
        <f>IF(#REF!,"AAAAAHbtNtc=",0)</f>
        <v>#REF!</v>
      </c>
      <c r="HI10" t="e">
        <f>IF(#REF!,"AAAAAHbtNtg=",0)</f>
        <v>#REF!</v>
      </c>
      <c r="HJ10" t="e">
        <f>IF(#REF!,"AAAAAHbtNtk=",0)</f>
        <v>#REF!</v>
      </c>
      <c r="HK10" t="e">
        <f>IF(#REF!,"AAAAAHbtNto=",0)</f>
        <v>#REF!</v>
      </c>
      <c r="HL10" t="e">
        <f>IF(#REF!,"AAAAAHbtNts=",0)</f>
        <v>#REF!</v>
      </c>
      <c r="HM10" t="e">
        <f>IF(#REF!,"AAAAAHbtNtw=",0)</f>
        <v>#REF!</v>
      </c>
      <c r="HN10" t="e">
        <f>IF(#REF!,"AAAAAHbtNt0=",0)</f>
        <v>#REF!</v>
      </c>
      <c r="HO10" t="e">
        <f>IF(#REF!,"AAAAAHbtNt4=",0)</f>
        <v>#REF!</v>
      </c>
      <c r="HP10" t="e">
        <f>IF(#REF!,"AAAAAHbtNt8=",0)</f>
        <v>#REF!</v>
      </c>
      <c r="HQ10" t="e">
        <f>IF(#REF!,"AAAAAHbtNuA=",0)</f>
        <v>#REF!</v>
      </c>
      <c r="HR10" t="e">
        <f>IF(#REF!,"AAAAAHbtNuE=",0)</f>
        <v>#REF!</v>
      </c>
      <c r="HS10" t="e">
        <f>AND(#REF!,"AAAAAHbtNuI=")</f>
        <v>#REF!</v>
      </c>
      <c r="HT10" t="e">
        <f>AND(#REF!,"AAAAAHbtNuM=")</f>
        <v>#REF!</v>
      </c>
      <c r="HU10" t="e">
        <f>AND(#REF!,"AAAAAHbtNuQ=")</f>
        <v>#REF!</v>
      </c>
      <c r="HV10" t="e">
        <f>AND(#REF!,"AAAAAHbtNuU=")</f>
        <v>#REF!</v>
      </c>
      <c r="HW10" t="e">
        <f>AND(#REF!,"AAAAAHbtNuY=")</f>
        <v>#REF!</v>
      </c>
      <c r="HX10" t="e">
        <f>AND(#REF!,"AAAAAHbtNuc=")</f>
        <v>#REF!</v>
      </c>
      <c r="HY10" t="e">
        <f>AND(#REF!,"AAAAAHbtNug=")</f>
        <v>#REF!</v>
      </c>
      <c r="HZ10" t="e">
        <f>AND(#REF!,"AAAAAHbtNuk=")</f>
        <v>#REF!</v>
      </c>
      <c r="IA10" t="e">
        <f>AND(#REF!,"AAAAAHbtNuo=")</f>
        <v>#REF!</v>
      </c>
      <c r="IB10" t="e">
        <f>AND(#REF!,"AAAAAHbtNus=")</f>
        <v>#REF!</v>
      </c>
      <c r="IC10" t="e">
        <f>AND(#REF!,"AAAAAHbtNuw=")</f>
        <v>#REF!</v>
      </c>
      <c r="ID10" t="e">
        <f>AND(#REF!,"AAAAAHbtNu0=")</f>
        <v>#REF!</v>
      </c>
      <c r="IE10" t="e">
        <f>AND(#REF!,"AAAAAHbtNu4=")</f>
        <v>#REF!</v>
      </c>
      <c r="IF10" t="e">
        <f>AND(#REF!,"AAAAAHbtNu8=")</f>
        <v>#REF!</v>
      </c>
      <c r="IG10" t="e">
        <f>AND(#REF!,"AAAAAHbtNvA=")</f>
        <v>#REF!</v>
      </c>
      <c r="IH10" t="e">
        <f>AND(#REF!,"AAAAAHbtNvE=")</f>
        <v>#REF!</v>
      </c>
      <c r="II10" t="e">
        <f>AND(#REF!,"AAAAAHbtNvI=")</f>
        <v>#REF!</v>
      </c>
      <c r="IJ10" t="e">
        <f>AND(#REF!,"AAAAAHbtNvM=")</f>
        <v>#REF!</v>
      </c>
      <c r="IK10" t="e">
        <f>AND(#REF!,"AAAAAHbtNvQ=")</f>
        <v>#REF!</v>
      </c>
      <c r="IL10" t="e">
        <f>AND(#REF!,"AAAAAHbtNvU=")</f>
        <v>#REF!</v>
      </c>
      <c r="IM10" t="e">
        <f>AND(#REF!,"AAAAAHbtNvY=")</f>
        <v>#REF!</v>
      </c>
      <c r="IN10" t="e">
        <f>AND(#REF!,"AAAAAHbtNvc=")</f>
        <v>#REF!</v>
      </c>
      <c r="IO10" t="e">
        <f>AND(#REF!,"AAAAAHbtNvg=")</f>
        <v>#REF!</v>
      </c>
      <c r="IP10" t="e">
        <f>AND(#REF!,"AAAAAHbtNvk=")</f>
        <v>#REF!</v>
      </c>
      <c r="IQ10" t="e">
        <f>AND(#REF!,"AAAAAHbtNvo=")</f>
        <v>#REF!</v>
      </c>
      <c r="IR10" t="e">
        <f>AND(#REF!,"AAAAAHbtNvs=")</f>
        <v>#REF!</v>
      </c>
      <c r="IS10" t="e">
        <f>AND(#REF!,"AAAAAHbtNvw=")</f>
        <v>#REF!</v>
      </c>
      <c r="IT10" t="e">
        <f>AND(#REF!,"AAAAAHbtNv0=")</f>
        <v>#REF!</v>
      </c>
      <c r="IU10" t="e">
        <f>IF(#REF!,"AAAAAHbtNv4=",0)</f>
        <v>#REF!</v>
      </c>
      <c r="IV10" t="e">
        <f>AND(#REF!,"AAAAAHbtNv8=")</f>
        <v>#REF!</v>
      </c>
    </row>
    <row r="11" spans="1:256" x14ac:dyDescent="0.2">
      <c r="A11" t="e">
        <f>AND(#REF!,"AAAAAD6//wA=")</f>
        <v>#REF!</v>
      </c>
      <c r="B11" t="e">
        <f>AND(#REF!,"AAAAAD6//wE=")</f>
        <v>#REF!</v>
      </c>
      <c r="C11" t="e">
        <f>AND(#REF!,"AAAAAD6//wI=")</f>
        <v>#REF!</v>
      </c>
      <c r="D11" t="e">
        <f>AND(#REF!,"AAAAAD6//wM=")</f>
        <v>#REF!</v>
      </c>
      <c r="E11" t="e">
        <f>AND(#REF!,"AAAAAD6//wQ=")</f>
        <v>#REF!</v>
      </c>
      <c r="F11" t="e">
        <f>AND(#REF!,"AAAAAD6//wU=")</f>
        <v>#REF!</v>
      </c>
      <c r="G11" t="e">
        <f>AND(#REF!,"AAAAAD6//wY=")</f>
        <v>#REF!</v>
      </c>
      <c r="H11" t="e">
        <f>AND(#REF!,"AAAAAD6//wc=")</f>
        <v>#REF!</v>
      </c>
      <c r="I11" t="e">
        <f>AND(#REF!,"AAAAAD6//wg=")</f>
        <v>#REF!</v>
      </c>
      <c r="J11" t="e">
        <f>AND(#REF!,"AAAAAD6//wk=")</f>
        <v>#REF!</v>
      </c>
      <c r="K11" t="e">
        <f>AND(#REF!,"AAAAAD6//wo=")</f>
        <v>#REF!</v>
      </c>
      <c r="L11" t="e">
        <f>AND(#REF!,"AAAAAD6//ws=")</f>
        <v>#REF!</v>
      </c>
      <c r="M11" t="e">
        <f>AND(#REF!,"AAAAAD6//ww=")</f>
        <v>#REF!</v>
      </c>
      <c r="N11" t="e">
        <f>AND(#REF!,"AAAAAD6//w0=")</f>
        <v>#REF!</v>
      </c>
      <c r="O11" t="e">
        <f>AND(#REF!,"AAAAAD6//w4=")</f>
        <v>#REF!</v>
      </c>
      <c r="P11" t="e">
        <f>AND(#REF!,"AAAAAD6//w8=")</f>
        <v>#REF!</v>
      </c>
      <c r="Q11" t="e">
        <f>AND(#REF!,"AAAAAD6//xA=")</f>
        <v>#REF!</v>
      </c>
      <c r="R11" t="e">
        <f>AND(#REF!,"AAAAAD6//xE=")</f>
        <v>#REF!</v>
      </c>
      <c r="S11" t="e">
        <f>AND(#REF!,"AAAAAD6//xI=")</f>
        <v>#REF!</v>
      </c>
      <c r="T11" t="e">
        <f>AND(#REF!,"AAAAAD6//xM=")</f>
        <v>#REF!</v>
      </c>
      <c r="U11" t="e">
        <f>AND(#REF!,"AAAAAD6//xQ=")</f>
        <v>#REF!</v>
      </c>
      <c r="V11" t="e">
        <f>AND(#REF!,"AAAAAD6//xU=")</f>
        <v>#REF!</v>
      </c>
      <c r="W11" t="e">
        <f>AND(#REF!,"AAAAAD6//xY=")</f>
        <v>#REF!</v>
      </c>
      <c r="X11" t="e">
        <f>AND(#REF!,"AAAAAD6//xc=")</f>
        <v>#REF!</v>
      </c>
      <c r="Y11" t="e">
        <f>AND(#REF!,"AAAAAD6//xg=")</f>
        <v>#REF!</v>
      </c>
      <c r="Z11" t="e">
        <f>AND(#REF!,"AAAAAD6//xk=")</f>
        <v>#REF!</v>
      </c>
      <c r="AA11" t="e">
        <f>AND(#REF!,"AAAAAD6//xo=")</f>
        <v>#REF!</v>
      </c>
      <c r="AB11" t="e">
        <f>IF(#REF!,"AAAAAD6//xs=",0)</f>
        <v>#REF!</v>
      </c>
      <c r="AC11" t="e">
        <f>AND(#REF!,"AAAAAD6//xw=")</f>
        <v>#REF!</v>
      </c>
      <c r="AD11" t="e">
        <f>AND(#REF!,"AAAAAD6//x0=")</f>
        <v>#REF!</v>
      </c>
      <c r="AE11" t="e">
        <f>AND(#REF!,"AAAAAD6//x4=")</f>
        <v>#REF!</v>
      </c>
      <c r="AF11" t="e">
        <f>AND(#REF!,"AAAAAD6//x8=")</f>
        <v>#REF!</v>
      </c>
      <c r="AG11" t="e">
        <f>AND(#REF!,"AAAAAD6//yA=")</f>
        <v>#REF!</v>
      </c>
      <c r="AH11" t="e">
        <f>AND(#REF!,"AAAAAD6//yE=")</f>
        <v>#REF!</v>
      </c>
      <c r="AI11" t="e">
        <f>AND(#REF!,"AAAAAD6//yI=")</f>
        <v>#REF!</v>
      </c>
      <c r="AJ11" t="e">
        <f>AND(#REF!,"AAAAAD6//yM=")</f>
        <v>#REF!</v>
      </c>
      <c r="AK11" t="e">
        <f>AND(#REF!,"AAAAAD6//yQ=")</f>
        <v>#REF!</v>
      </c>
      <c r="AL11" t="e">
        <f>AND(#REF!,"AAAAAD6//yU=")</f>
        <v>#REF!</v>
      </c>
      <c r="AM11" t="e">
        <f>AND(#REF!,"AAAAAD6//yY=")</f>
        <v>#REF!</v>
      </c>
      <c r="AN11" t="e">
        <f>AND(#REF!,"AAAAAD6//yc=")</f>
        <v>#REF!</v>
      </c>
      <c r="AO11" t="e">
        <f>AND(#REF!,"AAAAAD6//yg=")</f>
        <v>#REF!</v>
      </c>
      <c r="AP11" t="e">
        <f>AND(#REF!,"AAAAAD6//yk=")</f>
        <v>#REF!</v>
      </c>
      <c r="AQ11" t="e">
        <f>AND(#REF!,"AAAAAD6//yo=")</f>
        <v>#REF!</v>
      </c>
      <c r="AR11" t="e">
        <f>AND(#REF!,"AAAAAD6//ys=")</f>
        <v>#REF!</v>
      </c>
      <c r="AS11" t="e">
        <f>AND(#REF!,"AAAAAD6//yw=")</f>
        <v>#REF!</v>
      </c>
      <c r="AT11" t="e">
        <f>AND(#REF!,"AAAAAD6//y0=")</f>
        <v>#REF!</v>
      </c>
      <c r="AU11" t="e">
        <f>AND(#REF!,"AAAAAD6//y4=")</f>
        <v>#REF!</v>
      </c>
      <c r="AV11" t="e">
        <f>AND(#REF!,"AAAAAD6//y8=")</f>
        <v>#REF!</v>
      </c>
      <c r="AW11" t="e">
        <f>AND(#REF!,"AAAAAD6//zA=")</f>
        <v>#REF!</v>
      </c>
      <c r="AX11" t="e">
        <f>AND(#REF!,"AAAAAD6//zE=")</f>
        <v>#REF!</v>
      </c>
      <c r="AY11" t="e">
        <f>AND(#REF!,"AAAAAD6//zI=")</f>
        <v>#REF!</v>
      </c>
      <c r="AZ11" t="e">
        <f>AND(#REF!,"AAAAAD6//zM=")</f>
        <v>#REF!</v>
      </c>
      <c r="BA11" t="e">
        <f>AND(#REF!,"AAAAAD6//zQ=")</f>
        <v>#REF!</v>
      </c>
      <c r="BB11" t="e">
        <f>AND(#REF!,"AAAAAD6//zU=")</f>
        <v>#REF!</v>
      </c>
      <c r="BC11" t="e">
        <f>AND(#REF!,"AAAAAD6//zY=")</f>
        <v>#REF!</v>
      </c>
      <c r="BD11" t="e">
        <f>AND(#REF!,"AAAAAD6//zc=")</f>
        <v>#REF!</v>
      </c>
      <c r="BE11" t="e">
        <f>IF(#REF!,"AAAAAD6//zg=",0)</f>
        <v>#REF!</v>
      </c>
      <c r="BF11" t="e">
        <f>AND(#REF!,"AAAAAD6//zk=")</f>
        <v>#REF!</v>
      </c>
      <c r="BG11" t="e">
        <f>AND(#REF!,"AAAAAD6//zo=")</f>
        <v>#REF!</v>
      </c>
      <c r="BH11" t="e">
        <f>AND(#REF!,"AAAAAD6//zs=")</f>
        <v>#REF!</v>
      </c>
      <c r="BI11" t="e">
        <f>AND(#REF!,"AAAAAD6//zw=")</f>
        <v>#REF!</v>
      </c>
      <c r="BJ11" t="e">
        <f>AND(#REF!,"AAAAAD6//z0=")</f>
        <v>#REF!</v>
      </c>
      <c r="BK11" t="e">
        <f>AND(#REF!,"AAAAAD6//z4=")</f>
        <v>#REF!</v>
      </c>
      <c r="BL11" t="e">
        <f>AND(#REF!,"AAAAAD6//z8=")</f>
        <v>#REF!</v>
      </c>
      <c r="BM11" t="e">
        <f>AND(#REF!,"AAAAAD6//0A=")</f>
        <v>#REF!</v>
      </c>
      <c r="BN11" t="e">
        <f>AND(#REF!,"AAAAAD6//0E=")</f>
        <v>#REF!</v>
      </c>
      <c r="BO11" t="e">
        <f>AND(#REF!,"AAAAAD6//0I=")</f>
        <v>#REF!</v>
      </c>
      <c r="BP11" t="e">
        <f>AND(#REF!,"AAAAAD6//0M=")</f>
        <v>#REF!</v>
      </c>
      <c r="BQ11" t="e">
        <f>AND(#REF!,"AAAAAD6//0Q=")</f>
        <v>#REF!</v>
      </c>
      <c r="BR11" t="e">
        <f>AND(#REF!,"AAAAAD6//0U=")</f>
        <v>#REF!</v>
      </c>
      <c r="BS11" t="e">
        <f>AND(#REF!,"AAAAAD6//0Y=")</f>
        <v>#REF!</v>
      </c>
      <c r="BT11" t="e">
        <f>AND(#REF!,"AAAAAD6//0c=")</f>
        <v>#REF!</v>
      </c>
      <c r="BU11" t="e">
        <f>AND(#REF!,"AAAAAD6//0g=")</f>
        <v>#REF!</v>
      </c>
      <c r="BV11" t="e">
        <f>AND(#REF!,"AAAAAD6//0k=")</f>
        <v>#REF!</v>
      </c>
      <c r="BW11" t="e">
        <f>AND(#REF!,"AAAAAD6//0o=")</f>
        <v>#REF!</v>
      </c>
      <c r="BX11" t="e">
        <f>AND(#REF!,"AAAAAD6//0s=")</f>
        <v>#REF!</v>
      </c>
      <c r="BY11" t="e">
        <f>AND(#REF!,"AAAAAD6//0w=")</f>
        <v>#REF!</v>
      </c>
      <c r="BZ11" t="e">
        <f>AND(#REF!,"AAAAAD6//00=")</f>
        <v>#REF!</v>
      </c>
      <c r="CA11" t="e">
        <f>AND(#REF!,"AAAAAD6//04=")</f>
        <v>#REF!</v>
      </c>
      <c r="CB11" t="e">
        <f>AND(#REF!,"AAAAAD6//08=")</f>
        <v>#REF!</v>
      </c>
      <c r="CC11" t="e">
        <f>AND(#REF!,"AAAAAD6//1A=")</f>
        <v>#REF!</v>
      </c>
      <c r="CD11" t="e">
        <f>AND(#REF!,"AAAAAD6//1E=")</f>
        <v>#REF!</v>
      </c>
      <c r="CE11" t="e">
        <f>AND(#REF!,"AAAAAD6//1I=")</f>
        <v>#REF!</v>
      </c>
      <c r="CF11" t="e">
        <f>AND(#REF!,"AAAAAD6//1M=")</f>
        <v>#REF!</v>
      </c>
      <c r="CG11" t="e">
        <f>AND(#REF!,"AAAAAD6//1Q=")</f>
        <v>#REF!</v>
      </c>
      <c r="CH11" t="e">
        <f>IF(#REF!,"AAAAAD6//1U=",0)</f>
        <v>#REF!</v>
      </c>
      <c r="CI11" t="e">
        <f>AND(#REF!,"AAAAAD6//1Y=")</f>
        <v>#REF!</v>
      </c>
      <c r="CJ11" t="e">
        <f>AND(#REF!,"AAAAAD6//1c=")</f>
        <v>#REF!</v>
      </c>
      <c r="CK11" t="e">
        <f>AND(#REF!,"AAAAAD6//1g=")</f>
        <v>#REF!</v>
      </c>
      <c r="CL11" t="e">
        <f>AND(#REF!,"AAAAAD6//1k=")</f>
        <v>#REF!</v>
      </c>
      <c r="CM11" t="e">
        <f>AND(#REF!,"AAAAAD6//1o=")</f>
        <v>#REF!</v>
      </c>
      <c r="CN11" t="e">
        <f>AND(#REF!,"AAAAAD6//1s=")</f>
        <v>#REF!</v>
      </c>
      <c r="CO11" t="e">
        <f>AND(#REF!,"AAAAAD6//1w=")</f>
        <v>#REF!</v>
      </c>
      <c r="CP11" t="e">
        <f>AND(#REF!,"AAAAAD6//10=")</f>
        <v>#REF!</v>
      </c>
      <c r="CQ11" t="e">
        <f>AND(#REF!,"AAAAAD6//14=")</f>
        <v>#REF!</v>
      </c>
      <c r="CR11" t="e">
        <f>AND(#REF!,"AAAAAD6//18=")</f>
        <v>#REF!</v>
      </c>
      <c r="CS11" t="e">
        <f>AND(#REF!,"AAAAAD6//2A=")</f>
        <v>#REF!</v>
      </c>
      <c r="CT11" t="e">
        <f>AND(#REF!,"AAAAAD6//2E=")</f>
        <v>#REF!</v>
      </c>
      <c r="CU11" t="e">
        <f>AND(#REF!,"AAAAAD6//2I=")</f>
        <v>#REF!</v>
      </c>
      <c r="CV11" t="e">
        <f>AND(#REF!,"AAAAAD6//2M=")</f>
        <v>#REF!</v>
      </c>
      <c r="CW11" t="e">
        <f>AND(#REF!,"AAAAAD6//2Q=")</f>
        <v>#REF!</v>
      </c>
      <c r="CX11" t="e">
        <f>AND(#REF!,"AAAAAD6//2U=")</f>
        <v>#REF!</v>
      </c>
      <c r="CY11" t="e">
        <f>AND(#REF!,"AAAAAD6//2Y=")</f>
        <v>#REF!</v>
      </c>
      <c r="CZ11" t="e">
        <f>AND(#REF!,"AAAAAD6//2c=")</f>
        <v>#REF!</v>
      </c>
      <c r="DA11" t="e">
        <f>AND(#REF!,"AAAAAD6//2g=")</f>
        <v>#REF!</v>
      </c>
      <c r="DB11" t="e">
        <f>AND(#REF!,"AAAAAD6//2k=")</f>
        <v>#REF!</v>
      </c>
      <c r="DC11" t="e">
        <f>AND(#REF!,"AAAAAD6//2o=")</f>
        <v>#REF!</v>
      </c>
      <c r="DD11" t="e">
        <f>AND(#REF!,"AAAAAD6//2s=")</f>
        <v>#REF!</v>
      </c>
      <c r="DE11" t="e">
        <f>AND(#REF!,"AAAAAD6//2w=")</f>
        <v>#REF!</v>
      </c>
      <c r="DF11" t="e">
        <f>AND(#REF!,"AAAAAD6//20=")</f>
        <v>#REF!</v>
      </c>
      <c r="DG11" t="e">
        <f>AND(#REF!,"AAAAAD6//24=")</f>
        <v>#REF!</v>
      </c>
      <c r="DH11" t="e">
        <f>AND(#REF!,"AAAAAD6//28=")</f>
        <v>#REF!</v>
      </c>
      <c r="DI11" t="e">
        <f>AND(#REF!,"AAAAAD6//3A=")</f>
        <v>#REF!</v>
      </c>
      <c r="DJ11" t="e">
        <f>AND(#REF!,"AAAAAD6//3E=")</f>
        <v>#REF!</v>
      </c>
      <c r="DK11" t="e">
        <f>IF(#REF!,"AAAAAD6//3I=",0)</f>
        <v>#REF!</v>
      </c>
      <c r="DL11" t="e">
        <f>AND(#REF!,"AAAAAD6//3M=")</f>
        <v>#REF!</v>
      </c>
      <c r="DM11" t="e">
        <f>AND(#REF!,"AAAAAD6//3Q=")</f>
        <v>#REF!</v>
      </c>
      <c r="DN11" t="e">
        <f>AND(#REF!,"AAAAAD6//3U=")</f>
        <v>#REF!</v>
      </c>
      <c r="DO11" t="e">
        <f>AND(#REF!,"AAAAAD6//3Y=")</f>
        <v>#REF!</v>
      </c>
      <c r="DP11" t="e">
        <f>AND(#REF!,"AAAAAD6//3c=")</f>
        <v>#REF!</v>
      </c>
      <c r="DQ11" t="e">
        <f>AND(#REF!,"AAAAAD6//3g=")</f>
        <v>#REF!</v>
      </c>
      <c r="DR11" t="e">
        <f>AND(#REF!,"AAAAAD6//3k=")</f>
        <v>#REF!</v>
      </c>
      <c r="DS11" t="e">
        <f>AND(#REF!,"AAAAAD6//3o=")</f>
        <v>#REF!</v>
      </c>
      <c r="DT11" t="e">
        <f>AND(#REF!,"AAAAAD6//3s=")</f>
        <v>#REF!</v>
      </c>
      <c r="DU11" t="e">
        <f>AND(#REF!,"AAAAAD6//3w=")</f>
        <v>#REF!</v>
      </c>
      <c r="DV11" t="e">
        <f>AND(#REF!,"AAAAAD6//30=")</f>
        <v>#REF!</v>
      </c>
      <c r="DW11" t="e">
        <f>AND(#REF!,"AAAAAD6//34=")</f>
        <v>#REF!</v>
      </c>
      <c r="DX11" t="e">
        <f>AND(#REF!,"AAAAAD6//38=")</f>
        <v>#REF!</v>
      </c>
      <c r="DY11" t="e">
        <f>AND(#REF!,"AAAAAD6//4A=")</f>
        <v>#REF!</v>
      </c>
      <c r="DZ11" t="e">
        <f>AND(#REF!,"AAAAAD6//4E=")</f>
        <v>#REF!</v>
      </c>
      <c r="EA11" t="e">
        <f>AND(#REF!,"AAAAAD6//4I=")</f>
        <v>#REF!</v>
      </c>
      <c r="EB11" t="e">
        <f>AND(#REF!,"AAAAAD6//4M=")</f>
        <v>#REF!</v>
      </c>
      <c r="EC11" t="e">
        <f>AND(#REF!,"AAAAAD6//4Q=")</f>
        <v>#REF!</v>
      </c>
      <c r="ED11" t="e">
        <f>AND(#REF!,"AAAAAD6//4U=")</f>
        <v>#REF!</v>
      </c>
      <c r="EE11" t="e">
        <f>AND(#REF!,"AAAAAD6//4Y=")</f>
        <v>#REF!</v>
      </c>
      <c r="EF11" t="e">
        <f>AND(#REF!,"AAAAAD6//4c=")</f>
        <v>#REF!</v>
      </c>
      <c r="EG11" t="e">
        <f>AND(#REF!,"AAAAAD6//4g=")</f>
        <v>#REF!</v>
      </c>
      <c r="EH11" t="e">
        <f>AND(#REF!,"AAAAAD6//4k=")</f>
        <v>#REF!</v>
      </c>
      <c r="EI11" t="e">
        <f>AND(#REF!,"AAAAAD6//4o=")</f>
        <v>#REF!</v>
      </c>
      <c r="EJ11" t="e">
        <f>AND(#REF!,"AAAAAD6//4s=")</f>
        <v>#REF!</v>
      </c>
      <c r="EK11" t="e">
        <f>AND(#REF!,"AAAAAD6//4w=")</f>
        <v>#REF!</v>
      </c>
      <c r="EL11" t="e">
        <f>AND(#REF!,"AAAAAD6//40=")</f>
        <v>#REF!</v>
      </c>
      <c r="EM11" t="e">
        <f>AND(#REF!,"AAAAAD6//44=")</f>
        <v>#REF!</v>
      </c>
      <c r="EN11" t="e">
        <f>IF(#REF!,"AAAAAD6//48=",0)</f>
        <v>#REF!</v>
      </c>
      <c r="EO11" t="e">
        <f>AND(#REF!,"AAAAAD6//5A=")</f>
        <v>#REF!</v>
      </c>
      <c r="EP11" t="e">
        <f>AND(#REF!,"AAAAAD6//5E=")</f>
        <v>#REF!</v>
      </c>
      <c r="EQ11" t="e">
        <f>AND(#REF!,"AAAAAD6//5I=")</f>
        <v>#REF!</v>
      </c>
      <c r="ER11" t="e">
        <f>AND(#REF!,"AAAAAD6//5M=")</f>
        <v>#REF!</v>
      </c>
      <c r="ES11" t="e">
        <f>AND(#REF!,"AAAAAD6//5Q=")</f>
        <v>#REF!</v>
      </c>
      <c r="ET11" t="e">
        <f>AND(#REF!,"AAAAAD6//5U=")</f>
        <v>#REF!</v>
      </c>
      <c r="EU11" t="e">
        <f>AND(#REF!,"AAAAAD6//5Y=")</f>
        <v>#REF!</v>
      </c>
      <c r="EV11" t="e">
        <f>AND(#REF!,"AAAAAD6//5c=")</f>
        <v>#REF!</v>
      </c>
      <c r="EW11" t="e">
        <f>AND(#REF!,"AAAAAD6//5g=")</f>
        <v>#REF!</v>
      </c>
      <c r="EX11" t="e">
        <f>AND(#REF!,"AAAAAD6//5k=")</f>
        <v>#REF!</v>
      </c>
      <c r="EY11" t="e">
        <f>AND(#REF!,"AAAAAD6//5o=")</f>
        <v>#REF!</v>
      </c>
      <c r="EZ11" t="e">
        <f>AND(#REF!,"AAAAAD6//5s=")</f>
        <v>#REF!</v>
      </c>
      <c r="FA11" t="e">
        <f>AND(#REF!,"AAAAAD6//5w=")</f>
        <v>#REF!</v>
      </c>
      <c r="FB11" t="e">
        <f>AND(#REF!,"AAAAAD6//50=")</f>
        <v>#REF!</v>
      </c>
      <c r="FC11" t="e">
        <f>AND(#REF!,"AAAAAD6//54=")</f>
        <v>#REF!</v>
      </c>
      <c r="FD11" t="e">
        <f>AND(#REF!,"AAAAAD6//58=")</f>
        <v>#REF!</v>
      </c>
      <c r="FE11" t="e">
        <f>AND(#REF!,"AAAAAD6//6A=")</f>
        <v>#REF!</v>
      </c>
      <c r="FF11" t="e">
        <f>AND(#REF!,"AAAAAD6//6E=")</f>
        <v>#REF!</v>
      </c>
      <c r="FG11" t="e">
        <f>AND(#REF!,"AAAAAD6//6I=")</f>
        <v>#REF!</v>
      </c>
      <c r="FH11" t="e">
        <f>AND(#REF!,"AAAAAD6//6M=")</f>
        <v>#REF!</v>
      </c>
      <c r="FI11" t="e">
        <f>AND(#REF!,"AAAAAD6//6Q=")</f>
        <v>#REF!</v>
      </c>
      <c r="FJ11" t="e">
        <f>AND(#REF!,"AAAAAD6//6U=")</f>
        <v>#REF!</v>
      </c>
      <c r="FK11" t="e">
        <f>AND(#REF!,"AAAAAD6//6Y=")</f>
        <v>#REF!</v>
      </c>
      <c r="FL11" t="e">
        <f>AND(#REF!,"AAAAAD6//6c=")</f>
        <v>#REF!</v>
      </c>
      <c r="FM11" t="e">
        <f>AND(#REF!,"AAAAAD6//6g=")</f>
        <v>#REF!</v>
      </c>
      <c r="FN11" t="e">
        <f>AND(#REF!,"AAAAAD6//6k=")</f>
        <v>#REF!</v>
      </c>
      <c r="FO11" t="e">
        <f>AND(#REF!,"AAAAAD6//6o=")</f>
        <v>#REF!</v>
      </c>
      <c r="FP11" t="e">
        <f>AND(#REF!,"AAAAAD6//6s=")</f>
        <v>#REF!</v>
      </c>
      <c r="FQ11" t="e">
        <f>IF(#REF!,"AAAAAD6//6w=",0)</f>
        <v>#REF!</v>
      </c>
      <c r="FR11" t="e">
        <f>AND(#REF!,"AAAAAD6//60=")</f>
        <v>#REF!</v>
      </c>
      <c r="FS11" t="e">
        <f>AND(#REF!,"AAAAAD6//64=")</f>
        <v>#REF!</v>
      </c>
      <c r="FT11" t="e">
        <f>AND(#REF!,"AAAAAD6//68=")</f>
        <v>#REF!</v>
      </c>
      <c r="FU11" t="e">
        <f>AND(#REF!,"AAAAAD6//7A=")</f>
        <v>#REF!</v>
      </c>
      <c r="FV11" t="e">
        <f>AND(#REF!,"AAAAAD6//7E=")</f>
        <v>#REF!</v>
      </c>
      <c r="FW11" t="e">
        <f>AND(#REF!,"AAAAAD6//7I=")</f>
        <v>#REF!</v>
      </c>
      <c r="FX11" t="e">
        <f>AND(#REF!,"AAAAAD6//7M=")</f>
        <v>#REF!</v>
      </c>
      <c r="FY11" t="e">
        <f>AND(#REF!,"AAAAAD6//7Q=")</f>
        <v>#REF!</v>
      </c>
      <c r="FZ11" t="e">
        <f>AND(#REF!,"AAAAAD6//7U=")</f>
        <v>#REF!</v>
      </c>
      <c r="GA11" t="e">
        <f>AND(#REF!,"AAAAAD6//7Y=")</f>
        <v>#REF!</v>
      </c>
      <c r="GB11" t="e">
        <f>AND(#REF!,"AAAAAD6//7c=")</f>
        <v>#REF!</v>
      </c>
      <c r="GC11" t="e">
        <f>AND(#REF!,"AAAAAD6//7g=")</f>
        <v>#REF!</v>
      </c>
      <c r="GD11" t="e">
        <f>AND(#REF!,"AAAAAD6//7k=")</f>
        <v>#REF!</v>
      </c>
      <c r="GE11" t="e">
        <f>AND(#REF!,"AAAAAD6//7o=")</f>
        <v>#REF!</v>
      </c>
      <c r="GF11" t="e">
        <f>AND(#REF!,"AAAAAD6//7s=")</f>
        <v>#REF!</v>
      </c>
      <c r="GG11" t="e">
        <f>AND(#REF!,"AAAAAD6//7w=")</f>
        <v>#REF!</v>
      </c>
      <c r="GH11" t="e">
        <f>AND(#REF!,"AAAAAD6//70=")</f>
        <v>#REF!</v>
      </c>
      <c r="GI11" t="e">
        <f>AND(#REF!,"AAAAAD6//74=")</f>
        <v>#REF!</v>
      </c>
      <c r="GJ11" t="e">
        <f>AND(#REF!,"AAAAAD6//78=")</f>
        <v>#REF!</v>
      </c>
      <c r="GK11" t="e">
        <f>AND(#REF!,"AAAAAD6//8A=")</f>
        <v>#REF!</v>
      </c>
      <c r="GL11" t="e">
        <f>AND(#REF!,"AAAAAD6//8E=")</f>
        <v>#REF!</v>
      </c>
      <c r="GM11" t="e">
        <f>AND(#REF!,"AAAAAD6//8I=")</f>
        <v>#REF!</v>
      </c>
      <c r="GN11" t="e">
        <f>AND(#REF!,"AAAAAD6//8M=")</f>
        <v>#REF!</v>
      </c>
      <c r="GO11" t="e">
        <f>AND(#REF!,"AAAAAD6//8Q=")</f>
        <v>#REF!</v>
      </c>
      <c r="GP11" t="e">
        <f>AND(#REF!,"AAAAAD6//8U=")</f>
        <v>#REF!</v>
      </c>
      <c r="GQ11" t="e">
        <f>AND(#REF!,"AAAAAD6//8Y=")</f>
        <v>#REF!</v>
      </c>
      <c r="GR11" t="e">
        <f>AND(#REF!,"AAAAAD6//8c=")</f>
        <v>#REF!</v>
      </c>
      <c r="GS11" t="e">
        <f>AND(#REF!,"AAAAAD6//8g=")</f>
        <v>#REF!</v>
      </c>
      <c r="GT11" t="e">
        <f>IF(#REF!,"AAAAAD6//8k=",0)</f>
        <v>#REF!</v>
      </c>
      <c r="GU11" t="e">
        <f>AND(#REF!,"AAAAAD6//8o=")</f>
        <v>#REF!</v>
      </c>
      <c r="GV11" t="e">
        <f>AND(#REF!,"AAAAAD6//8s=")</f>
        <v>#REF!</v>
      </c>
      <c r="GW11" t="e">
        <f>AND(#REF!,"AAAAAD6//8w=")</f>
        <v>#REF!</v>
      </c>
      <c r="GX11" t="e">
        <f>AND(#REF!,"AAAAAD6//80=")</f>
        <v>#REF!</v>
      </c>
      <c r="GY11" t="e">
        <f>AND(#REF!,"AAAAAD6//84=")</f>
        <v>#REF!</v>
      </c>
      <c r="GZ11" t="e">
        <f>AND(#REF!,"AAAAAD6//88=")</f>
        <v>#REF!</v>
      </c>
      <c r="HA11" t="e">
        <f>AND(#REF!,"AAAAAD6//9A=")</f>
        <v>#REF!</v>
      </c>
      <c r="HB11" t="e">
        <f>AND(#REF!,"AAAAAD6//9E=")</f>
        <v>#REF!</v>
      </c>
      <c r="HC11" t="e">
        <f>AND(#REF!,"AAAAAD6//9I=")</f>
        <v>#REF!</v>
      </c>
      <c r="HD11" t="e">
        <f>AND(#REF!,"AAAAAD6//9M=")</f>
        <v>#REF!</v>
      </c>
      <c r="HE11" t="e">
        <f>AND(#REF!,"AAAAAD6//9Q=")</f>
        <v>#REF!</v>
      </c>
      <c r="HF11" t="e">
        <f>AND(#REF!,"AAAAAD6//9U=")</f>
        <v>#REF!</v>
      </c>
      <c r="HG11" t="e">
        <f>AND(#REF!,"AAAAAD6//9Y=")</f>
        <v>#REF!</v>
      </c>
      <c r="HH11" t="e">
        <f>AND(#REF!,"AAAAAD6//9c=")</f>
        <v>#REF!</v>
      </c>
      <c r="HI11" t="e">
        <f>AND(#REF!,"AAAAAD6//9g=")</f>
        <v>#REF!</v>
      </c>
      <c r="HJ11" t="e">
        <f>AND(#REF!,"AAAAAD6//9k=")</f>
        <v>#REF!</v>
      </c>
      <c r="HK11" t="e">
        <f>AND(#REF!,"AAAAAD6//9o=")</f>
        <v>#REF!</v>
      </c>
      <c r="HL11" t="e">
        <f>AND(#REF!,"AAAAAD6//9s=")</f>
        <v>#REF!</v>
      </c>
      <c r="HM11" t="e">
        <f>AND(#REF!,"AAAAAD6//9w=")</f>
        <v>#REF!</v>
      </c>
      <c r="HN11" t="e">
        <f>AND(#REF!,"AAAAAD6//90=")</f>
        <v>#REF!</v>
      </c>
      <c r="HO11" t="e">
        <f>AND(#REF!,"AAAAAD6//94=")</f>
        <v>#REF!</v>
      </c>
      <c r="HP11" t="e">
        <f>AND(#REF!,"AAAAAD6//98=")</f>
        <v>#REF!</v>
      </c>
      <c r="HQ11" t="e">
        <f>AND(#REF!,"AAAAAD6//+A=")</f>
        <v>#REF!</v>
      </c>
      <c r="HR11" t="e">
        <f>AND(#REF!,"AAAAAD6//+E=")</f>
        <v>#REF!</v>
      </c>
      <c r="HS11" t="e">
        <f>AND(#REF!,"AAAAAD6//+I=")</f>
        <v>#REF!</v>
      </c>
      <c r="HT11" t="e">
        <f>AND(#REF!,"AAAAAD6//+M=")</f>
        <v>#REF!</v>
      </c>
      <c r="HU11" t="e">
        <f>AND(#REF!,"AAAAAD6//+Q=")</f>
        <v>#REF!</v>
      </c>
      <c r="HV11" t="e">
        <f>AND(#REF!,"AAAAAD6//+U=")</f>
        <v>#REF!</v>
      </c>
      <c r="HW11" t="e">
        <f>IF(#REF!,"AAAAAD6//+Y=",0)</f>
        <v>#REF!</v>
      </c>
      <c r="HX11" t="e">
        <f>AND(#REF!,"AAAAAD6//+c=")</f>
        <v>#REF!</v>
      </c>
      <c r="HY11" t="e">
        <f>AND(#REF!,"AAAAAD6//+g=")</f>
        <v>#REF!</v>
      </c>
      <c r="HZ11" t="e">
        <f>AND(#REF!,"AAAAAD6//+k=")</f>
        <v>#REF!</v>
      </c>
      <c r="IA11" t="e">
        <f>AND(#REF!,"AAAAAD6//+o=")</f>
        <v>#REF!</v>
      </c>
      <c r="IB11" t="e">
        <f>AND(#REF!,"AAAAAD6//+s=")</f>
        <v>#REF!</v>
      </c>
      <c r="IC11" t="e">
        <f>AND(#REF!,"AAAAAD6//+w=")</f>
        <v>#REF!</v>
      </c>
      <c r="ID11" t="e">
        <f>AND(#REF!,"AAAAAD6//+0=")</f>
        <v>#REF!</v>
      </c>
      <c r="IE11" t="e">
        <f>AND(#REF!,"AAAAAD6//+4=")</f>
        <v>#REF!</v>
      </c>
      <c r="IF11" t="e">
        <f>AND(#REF!,"AAAAAD6//+8=")</f>
        <v>#REF!</v>
      </c>
      <c r="IG11" t="e">
        <f>AND(#REF!,"AAAAAD6///A=")</f>
        <v>#REF!</v>
      </c>
      <c r="IH11" t="e">
        <f>AND(#REF!,"AAAAAD6///E=")</f>
        <v>#REF!</v>
      </c>
      <c r="II11" t="e">
        <f>AND(#REF!,"AAAAAD6///I=")</f>
        <v>#REF!</v>
      </c>
      <c r="IJ11" t="e">
        <f>AND(#REF!,"AAAAAD6///M=")</f>
        <v>#REF!</v>
      </c>
      <c r="IK11" t="e">
        <f>AND(#REF!,"AAAAAD6///Q=")</f>
        <v>#REF!</v>
      </c>
      <c r="IL11" t="e">
        <f>AND(#REF!,"AAAAAD6///U=")</f>
        <v>#REF!</v>
      </c>
      <c r="IM11" t="e">
        <f>AND(#REF!,"AAAAAD6///Y=")</f>
        <v>#REF!</v>
      </c>
      <c r="IN11" t="e">
        <f>AND(#REF!,"AAAAAD6///c=")</f>
        <v>#REF!</v>
      </c>
      <c r="IO11" t="e">
        <f>AND(#REF!,"AAAAAD6///g=")</f>
        <v>#REF!</v>
      </c>
      <c r="IP11" t="e">
        <f>AND(#REF!,"AAAAAD6///k=")</f>
        <v>#REF!</v>
      </c>
      <c r="IQ11" t="e">
        <f>AND(#REF!,"AAAAAD6///o=")</f>
        <v>#REF!</v>
      </c>
      <c r="IR11" t="e">
        <f>AND(#REF!,"AAAAAD6///s=")</f>
        <v>#REF!</v>
      </c>
      <c r="IS11" t="e">
        <f>AND(#REF!,"AAAAAD6///w=")</f>
        <v>#REF!</v>
      </c>
      <c r="IT11" t="e">
        <f>AND(#REF!,"AAAAAD6///0=")</f>
        <v>#REF!</v>
      </c>
      <c r="IU11" t="e">
        <f>AND(#REF!,"AAAAAD6///4=")</f>
        <v>#REF!</v>
      </c>
      <c r="IV11" t="e">
        <f>AND(#REF!,"AAAAAD6///8=")</f>
        <v>#REF!</v>
      </c>
    </row>
    <row r="12" spans="1:256" x14ac:dyDescent="0.2">
      <c r="A12" t="e">
        <f>AND(#REF!,"AAAAAH2drwA=")</f>
        <v>#REF!</v>
      </c>
      <c r="B12" t="e">
        <f>AND(#REF!,"AAAAAH2drwE=")</f>
        <v>#REF!</v>
      </c>
      <c r="C12" t="e">
        <f>AND(#REF!,"AAAAAH2drwI=")</f>
        <v>#REF!</v>
      </c>
      <c r="D12" t="e">
        <f>IF(#REF!,"AAAAAH2drwM=",0)</f>
        <v>#REF!</v>
      </c>
      <c r="E12" t="e">
        <f>AND(#REF!,"AAAAAH2drwQ=")</f>
        <v>#REF!</v>
      </c>
      <c r="F12" t="e">
        <f>AND(#REF!,"AAAAAH2drwU=")</f>
        <v>#REF!</v>
      </c>
      <c r="G12" t="e">
        <f>AND(#REF!,"AAAAAH2drwY=")</f>
        <v>#REF!</v>
      </c>
      <c r="H12" t="e">
        <f>AND(#REF!,"AAAAAH2drwc=")</f>
        <v>#REF!</v>
      </c>
      <c r="I12" t="e">
        <f>AND(#REF!,"AAAAAH2drwg=")</f>
        <v>#REF!</v>
      </c>
      <c r="J12" t="e">
        <f>AND(#REF!,"AAAAAH2drwk=")</f>
        <v>#REF!</v>
      </c>
      <c r="K12" t="e">
        <f>AND(#REF!,"AAAAAH2drwo=")</f>
        <v>#REF!</v>
      </c>
      <c r="L12" t="e">
        <f>AND(#REF!,"AAAAAH2drws=")</f>
        <v>#REF!</v>
      </c>
      <c r="M12" t="e">
        <f>AND(#REF!,"AAAAAH2drww=")</f>
        <v>#REF!</v>
      </c>
      <c r="N12" t="e">
        <f>AND(#REF!,"AAAAAH2drw0=")</f>
        <v>#REF!</v>
      </c>
      <c r="O12" t="e">
        <f>AND(#REF!,"AAAAAH2drw4=")</f>
        <v>#REF!</v>
      </c>
      <c r="P12" t="e">
        <f>AND(#REF!,"AAAAAH2drw8=")</f>
        <v>#REF!</v>
      </c>
      <c r="Q12" t="e">
        <f>AND(#REF!,"AAAAAH2drxA=")</f>
        <v>#REF!</v>
      </c>
      <c r="R12" t="e">
        <f>AND(#REF!,"AAAAAH2drxE=")</f>
        <v>#REF!</v>
      </c>
      <c r="S12" t="e">
        <f>AND(#REF!,"AAAAAH2drxI=")</f>
        <v>#REF!</v>
      </c>
      <c r="T12" t="e">
        <f>AND(#REF!,"AAAAAH2drxM=")</f>
        <v>#REF!</v>
      </c>
      <c r="U12" t="e">
        <f>AND(#REF!,"AAAAAH2drxQ=")</f>
        <v>#REF!</v>
      </c>
      <c r="V12" t="e">
        <f>AND(#REF!,"AAAAAH2drxU=")</f>
        <v>#REF!</v>
      </c>
      <c r="W12" t="e">
        <f>AND(#REF!,"AAAAAH2drxY=")</f>
        <v>#REF!</v>
      </c>
      <c r="X12" t="e">
        <f>AND(#REF!,"AAAAAH2drxc=")</f>
        <v>#REF!</v>
      </c>
      <c r="Y12" t="e">
        <f>AND(#REF!,"AAAAAH2drxg=")</f>
        <v>#REF!</v>
      </c>
      <c r="Z12" t="e">
        <f>AND(#REF!,"AAAAAH2drxk=")</f>
        <v>#REF!</v>
      </c>
      <c r="AA12" t="e">
        <f>AND(#REF!,"AAAAAH2drxo=")</f>
        <v>#REF!</v>
      </c>
      <c r="AB12" t="e">
        <f>AND(#REF!,"AAAAAH2drxs=")</f>
        <v>#REF!</v>
      </c>
      <c r="AC12" t="e">
        <f>AND(#REF!,"AAAAAH2drxw=")</f>
        <v>#REF!</v>
      </c>
      <c r="AD12" t="e">
        <f>AND(#REF!,"AAAAAH2drx0=")</f>
        <v>#REF!</v>
      </c>
      <c r="AE12" t="e">
        <f>AND(#REF!,"AAAAAH2drx4=")</f>
        <v>#REF!</v>
      </c>
      <c r="AF12" t="e">
        <f>AND(#REF!,"AAAAAH2drx8=")</f>
        <v>#REF!</v>
      </c>
      <c r="AG12" t="e">
        <f>IF(#REF!,"AAAAAH2dryA=",0)</f>
        <v>#REF!</v>
      </c>
      <c r="AH12" t="e">
        <f>AND(#REF!,"AAAAAH2dryE=")</f>
        <v>#REF!</v>
      </c>
      <c r="AI12" t="e">
        <f>AND(#REF!,"AAAAAH2dryI=")</f>
        <v>#REF!</v>
      </c>
      <c r="AJ12" t="e">
        <f>AND(#REF!,"AAAAAH2dryM=")</f>
        <v>#REF!</v>
      </c>
      <c r="AK12" t="e">
        <f>AND(#REF!,"AAAAAH2dryQ=")</f>
        <v>#REF!</v>
      </c>
      <c r="AL12" t="e">
        <f>AND(#REF!,"AAAAAH2dryU=")</f>
        <v>#REF!</v>
      </c>
      <c r="AM12" t="e">
        <f>AND(#REF!,"AAAAAH2dryY=")</f>
        <v>#REF!</v>
      </c>
      <c r="AN12" t="e">
        <f>AND(#REF!,"AAAAAH2dryc=")</f>
        <v>#REF!</v>
      </c>
      <c r="AO12" t="e">
        <f>AND(#REF!,"AAAAAH2dryg=")</f>
        <v>#REF!</v>
      </c>
      <c r="AP12" t="e">
        <f>AND(#REF!,"AAAAAH2dryk=")</f>
        <v>#REF!</v>
      </c>
      <c r="AQ12" t="e">
        <f>AND(#REF!,"AAAAAH2dryo=")</f>
        <v>#REF!</v>
      </c>
      <c r="AR12" t="e">
        <f>AND(#REF!,"AAAAAH2drys=")</f>
        <v>#REF!</v>
      </c>
      <c r="AS12" t="e">
        <f>AND(#REF!,"AAAAAH2dryw=")</f>
        <v>#REF!</v>
      </c>
      <c r="AT12" t="e">
        <f>AND(#REF!,"AAAAAH2dry0=")</f>
        <v>#REF!</v>
      </c>
      <c r="AU12" t="e">
        <f>AND(#REF!,"AAAAAH2dry4=")</f>
        <v>#REF!</v>
      </c>
      <c r="AV12" t="e">
        <f>AND(#REF!,"AAAAAH2dry8=")</f>
        <v>#REF!</v>
      </c>
      <c r="AW12" t="e">
        <f>AND(#REF!,"AAAAAH2drzA=")</f>
        <v>#REF!</v>
      </c>
      <c r="AX12" t="e">
        <f>AND(#REF!,"AAAAAH2drzE=")</f>
        <v>#REF!</v>
      </c>
      <c r="AY12" t="e">
        <f>AND(#REF!,"AAAAAH2drzI=")</f>
        <v>#REF!</v>
      </c>
      <c r="AZ12" t="e">
        <f>AND(#REF!,"AAAAAH2drzM=")</f>
        <v>#REF!</v>
      </c>
      <c r="BA12" t="e">
        <f>AND(#REF!,"AAAAAH2drzQ=")</f>
        <v>#REF!</v>
      </c>
      <c r="BB12" t="e">
        <f>AND(#REF!,"AAAAAH2drzU=")</f>
        <v>#REF!</v>
      </c>
      <c r="BC12" t="e">
        <f>AND(#REF!,"AAAAAH2drzY=")</f>
        <v>#REF!</v>
      </c>
      <c r="BD12" t="e">
        <f>AND(#REF!,"AAAAAH2drzc=")</f>
        <v>#REF!</v>
      </c>
      <c r="BE12" t="e">
        <f>AND(#REF!,"AAAAAH2drzg=")</f>
        <v>#REF!</v>
      </c>
      <c r="BF12" t="e">
        <f>AND(#REF!,"AAAAAH2drzk=")</f>
        <v>#REF!</v>
      </c>
      <c r="BG12" t="e">
        <f>AND(#REF!,"AAAAAH2drzo=")</f>
        <v>#REF!</v>
      </c>
      <c r="BH12" t="e">
        <f>AND(#REF!,"AAAAAH2drzs=")</f>
        <v>#REF!</v>
      </c>
      <c r="BI12" t="e">
        <f>AND(#REF!,"AAAAAH2drzw=")</f>
        <v>#REF!</v>
      </c>
      <c r="BJ12" t="e">
        <f>IF(#REF!,"AAAAAH2drz0=",0)</f>
        <v>#REF!</v>
      </c>
      <c r="BK12" t="e">
        <f>AND(#REF!,"AAAAAH2drz4=")</f>
        <v>#REF!</v>
      </c>
      <c r="BL12" t="e">
        <f>AND(#REF!,"AAAAAH2drz8=")</f>
        <v>#REF!</v>
      </c>
      <c r="BM12" t="e">
        <f>AND(#REF!,"AAAAAH2dr0A=")</f>
        <v>#REF!</v>
      </c>
      <c r="BN12" t="e">
        <f>AND(#REF!,"AAAAAH2dr0E=")</f>
        <v>#REF!</v>
      </c>
      <c r="BO12" t="e">
        <f>AND(#REF!,"AAAAAH2dr0I=")</f>
        <v>#REF!</v>
      </c>
      <c r="BP12" t="e">
        <f>AND(#REF!,"AAAAAH2dr0M=")</f>
        <v>#REF!</v>
      </c>
      <c r="BQ12" t="e">
        <f>AND(#REF!,"AAAAAH2dr0Q=")</f>
        <v>#REF!</v>
      </c>
      <c r="BR12" t="e">
        <f>AND(#REF!,"AAAAAH2dr0U=")</f>
        <v>#REF!</v>
      </c>
      <c r="BS12" t="e">
        <f>AND(#REF!,"AAAAAH2dr0Y=")</f>
        <v>#REF!</v>
      </c>
      <c r="BT12" t="e">
        <f>AND(#REF!,"AAAAAH2dr0c=")</f>
        <v>#REF!</v>
      </c>
      <c r="BU12" t="e">
        <f>AND(#REF!,"AAAAAH2dr0g=")</f>
        <v>#REF!</v>
      </c>
      <c r="BV12" t="e">
        <f>AND(#REF!,"AAAAAH2dr0k=")</f>
        <v>#REF!</v>
      </c>
      <c r="BW12" t="e">
        <f>AND(#REF!,"AAAAAH2dr0o=")</f>
        <v>#REF!</v>
      </c>
      <c r="BX12" t="e">
        <f>AND(#REF!,"AAAAAH2dr0s=")</f>
        <v>#REF!</v>
      </c>
      <c r="BY12" t="e">
        <f>AND(#REF!,"AAAAAH2dr0w=")</f>
        <v>#REF!</v>
      </c>
      <c r="BZ12" t="e">
        <f>AND(#REF!,"AAAAAH2dr00=")</f>
        <v>#REF!</v>
      </c>
      <c r="CA12" t="e">
        <f>AND(#REF!,"AAAAAH2dr04=")</f>
        <v>#REF!</v>
      </c>
      <c r="CB12" t="e">
        <f>AND(#REF!,"AAAAAH2dr08=")</f>
        <v>#REF!</v>
      </c>
      <c r="CC12" t="e">
        <f>AND(#REF!,"AAAAAH2dr1A=")</f>
        <v>#REF!</v>
      </c>
      <c r="CD12" t="e">
        <f>AND(#REF!,"AAAAAH2dr1E=")</f>
        <v>#REF!</v>
      </c>
      <c r="CE12" t="e">
        <f>AND(#REF!,"AAAAAH2dr1I=")</f>
        <v>#REF!</v>
      </c>
      <c r="CF12" t="e">
        <f>AND(#REF!,"AAAAAH2dr1M=")</f>
        <v>#REF!</v>
      </c>
      <c r="CG12" t="e">
        <f>AND(#REF!,"AAAAAH2dr1Q=")</f>
        <v>#REF!</v>
      </c>
      <c r="CH12" t="e">
        <f>AND(#REF!,"AAAAAH2dr1U=")</f>
        <v>#REF!</v>
      </c>
      <c r="CI12" t="e">
        <f>AND(#REF!,"AAAAAH2dr1Y=")</f>
        <v>#REF!</v>
      </c>
      <c r="CJ12" t="e">
        <f>AND(#REF!,"AAAAAH2dr1c=")</f>
        <v>#REF!</v>
      </c>
      <c r="CK12" t="e">
        <f>AND(#REF!,"AAAAAH2dr1g=")</f>
        <v>#REF!</v>
      </c>
      <c r="CL12" t="e">
        <f>AND(#REF!,"AAAAAH2dr1k=")</f>
        <v>#REF!</v>
      </c>
      <c r="CM12" t="e">
        <f>IF(#REF!,"AAAAAH2dr1o=",0)</f>
        <v>#REF!</v>
      </c>
      <c r="CN12" t="e">
        <f>AND(#REF!,"AAAAAH2dr1s=")</f>
        <v>#REF!</v>
      </c>
      <c r="CO12" t="e">
        <f>AND(#REF!,"AAAAAH2dr1w=")</f>
        <v>#REF!</v>
      </c>
      <c r="CP12" t="e">
        <f>AND(#REF!,"AAAAAH2dr10=")</f>
        <v>#REF!</v>
      </c>
      <c r="CQ12" t="e">
        <f>AND(#REF!,"AAAAAH2dr14=")</f>
        <v>#REF!</v>
      </c>
      <c r="CR12" t="e">
        <f>AND(#REF!,"AAAAAH2dr18=")</f>
        <v>#REF!</v>
      </c>
      <c r="CS12" t="e">
        <f>AND(#REF!,"AAAAAH2dr2A=")</f>
        <v>#REF!</v>
      </c>
      <c r="CT12" t="e">
        <f>AND(#REF!,"AAAAAH2dr2E=")</f>
        <v>#REF!</v>
      </c>
      <c r="CU12" t="e">
        <f>AND(#REF!,"AAAAAH2dr2I=")</f>
        <v>#REF!</v>
      </c>
      <c r="CV12" t="e">
        <f>AND(#REF!,"AAAAAH2dr2M=")</f>
        <v>#REF!</v>
      </c>
      <c r="CW12" t="e">
        <f>AND(#REF!,"AAAAAH2dr2Q=")</f>
        <v>#REF!</v>
      </c>
      <c r="CX12" t="e">
        <f>AND(#REF!,"AAAAAH2dr2U=")</f>
        <v>#REF!</v>
      </c>
      <c r="CY12" t="e">
        <f>AND(#REF!,"AAAAAH2dr2Y=")</f>
        <v>#REF!</v>
      </c>
      <c r="CZ12" t="e">
        <f>AND(#REF!,"AAAAAH2dr2c=")</f>
        <v>#REF!</v>
      </c>
      <c r="DA12" t="e">
        <f>AND(#REF!,"AAAAAH2dr2g=")</f>
        <v>#REF!</v>
      </c>
      <c r="DB12" t="e">
        <f>AND(#REF!,"AAAAAH2dr2k=")</f>
        <v>#REF!</v>
      </c>
      <c r="DC12" t="e">
        <f>AND(#REF!,"AAAAAH2dr2o=")</f>
        <v>#REF!</v>
      </c>
      <c r="DD12" t="e">
        <f>AND(#REF!,"AAAAAH2dr2s=")</f>
        <v>#REF!</v>
      </c>
      <c r="DE12" t="e">
        <f>AND(#REF!,"AAAAAH2dr2w=")</f>
        <v>#REF!</v>
      </c>
      <c r="DF12" t="e">
        <f>AND(#REF!,"AAAAAH2dr20=")</f>
        <v>#REF!</v>
      </c>
      <c r="DG12" t="e">
        <f>AND(#REF!,"AAAAAH2dr24=")</f>
        <v>#REF!</v>
      </c>
      <c r="DH12" t="e">
        <f>AND(#REF!,"AAAAAH2dr28=")</f>
        <v>#REF!</v>
      </c>
      <c r="DI12" t="e">
        <f>AND(#REF!,"AAAAAH2dr3A=")</f>
        <v>#REF!</v>
      </c>
      <c r="DJ12" t="e">
        <f>AND(#REF!,"AAAAAH2dr3E=")</f>
        <v>#REF!</v>
      </c>
      <c r="DK12" t="e">
        <f>AND(#REF!,"AAAAAH2dr3I=")</f>
        <v>#REF!</v>
      </c>
      <c r="DL12" t="e">
        <f>AND(#REF!,"AAAAAH2dr3M=")</f>
        <v>#REF!</v>
      </c>
      <c r="DM12" t="e">
        <f>AND(#REF!,"AAAAAH2dr3Q=")</f>
        <v>#REF!</v>
      </c>
      <c r="DN12" t="e">
        <f>AND(#REF!,"AAAAAH2dr3U=")</f>
        <v>#REF!</v>
      </c>
      <c r="DO12" t="e">
        <f>AND(#REF!,"AAAAAH2dr3Y=")</f>
        <v>#REF!</v>
      </c>
      <c r="DP12" t="e">
        <f>IF(#REF!,"AAAAAH2dr3c=",0)</f>
        <v>#REF!</v>
      </c>
      <c r="DQ12" t="e">
        <f>AND(#REF!,"AAAAAH2dr3g=")</f>
        <v>#REF!</v>
      </c>
      <c r="DR12" t="e">
        <f>AND(#REF!,"AAAAAH2dr3k=")</f>
        <v>#REF!</v>
      </c>
      <c r="DS12" t="e">
        <f>AND(#REF!,"AAAAAH2dr3o=")</f>
        <v>#REF!</v>
      </c>
      <c r="DT12" t="e">
        <f>AND(#REF!,"AAAAAH2dr3s=")</f>
        <v>#REF!</v>
      </c>
      <c r="DU12" t="e">
        <f>AND(#REF!,"AAAAAH2dr3w=")</f>
        <v>#REF!</v>
      </c>
      <c r="DV12" t="e">
        <f>AND(#REF!,"AAAAAH2dr30=")</f>
        <v>#REF!</v>
      </c>
      <c r="DW12" t="e">
        <f>AND(#REF!,"AAAAAH2dr34=")</f>
        <v>#REF!</v>
      </c>
      <c r="DX12" t="e">
        <f>AND(#REF!,"AAAAAH2dr38=")</f>
        <v>#REF!</v>
      </c>
      <c r="DY12" t="e">
        <f>AND(#REF!,"AAAAAH2dr4A=")</f>
        <v>#REF!</v>
      </c>
      <c r="DZ12" t="e">
        <f>AND(#REF!,"AAAAAH2dr4E=")</f>
        <v>#REF!</v>
      </c>
      <c r="EA12" t="e">
        <f>AND(#REF!,"AAAAAH2dr4I=")</f>
        <v>#REF!</v>
      </c>
      <c r="EB12" t="e">
        <f>AND(#REF!,"AAAAAH2dr4M=")</f>
        <v>#REF!</v>
      </c>
      <c r="EC12" t="e">
        <f>AND(#REF!,"AAAAAH2dr4Q=")</f>
        <v>#REF!</v>
      </c>
      <c r="ED12" t="e">
        <f>AND(#REF!,"AAAAAH2dr4U=")</f>
        <v>#REF!</v>
      </c>
      <c r="EE12" t="e">
        <f>AND(#REF!,"AAAAAH2dr4Y=")</f>
        <v>#REF!</v>
      </c>
      <c r="EF12" t="e">
        <f>AND(#REF!,"AAAAAH2dr4c=")</f>
        <v>#REF!</v>
      </c>
      <c r="EG12" t="e">
        <f>AND(#REF!,"AAAAAH2dr4g=")</f>
        <v>#REF!</v>
      </c>
      <c r="EH12" t="e">
        <f>AND(#REF!,"AAAAAH2dr4k=")</f>
        <v>#REF!</v>
      </c>
      <c r="EI12" t="e">
        <f>AND(#REF!,"AAAAAH2dr4o=")</f>
        <v>#REF!</v>
      </c>
      <c r="EJ12" t="e">
        <f>AND(#REF!,"AAAAAH2dr4s=")</f>
        <v>#REF!</v>
      </c>
      <c r="EK12" t="e">
        <f>AND(#REF!,"AAAAAH2dr4w=")</f>
        <v>#REF!</v>
      </c>
      <c r="EL12" t="e">
        <f>AND(#REF!,"AAAAAH2dr40=")</f>
        <v>#REF!</v>
      </c>
      <c r="EM12" t="e">
        <f>AND(#REF!,"AAAAAH2dr44=")</f>
        <v>#REF!</v>
      </c>
      <c r="EN12" t="e">
        <f>AND(#REF!,"AAAAAH2dr48=")</f>
        <v>#REF!</v>
      </c>
      <c r="EO12" t="e">
        <f>AND(#REF!,"AAAAAH2dr5A=")</f>
        <v>#REF!</v>
      </c>
      <c r="EP12" t="e">
        <f>AND(#REF!,"AAAAAH2dr5E=")</f>
        <v>#REF!</v>
      </c>
      <c r="EQ12" t="e">
        <f>AND(#REF!,"AAAAAH2dr5I=")</f>
        <v>#REF!</v>
      </c>
      <c r="ER12" t="e">
        <f>AND(#REF!,"AAAAAH2dr5M=")</f>
        <v>#REF!</v>
      </c>
      <c r="ES12" t="e">
        <f>IF(#REF!,"AAAAAH2dr5Q=",0)</f>
        <v>#REF!</v>
      </c>
      <c r="ET12" t="e">
        <f>AND(#REF!,"AAAAAH2dr5U=")</f>
        <v>#REF!</v>
      </c>
      <c r="EU12" t="e">
        <f>AND(#REF!,"AAAAAH2dr5Y=")</f>
        <v>#REF!</v>
      </c>
      <c r="EV12" t="e">
        <f>AND(#REF!,"AAAAAH2dr5c=")</f>
        <v>#REF!</v>
      </c>
      <c r="EW12" t="e">
        <f>AND(#REF!,"AAAAAH2dr5g=")</f>
        <v>#REF!</v>
      </c>
      <c r="EX12" t="e">
        <f>AND(#REF!,"AAAAAH2dr5k=")</f>
        <v>#REF!</v>
      </c>
      <c r="EY12" t="e">
        <f>AND(#REF!,"AAAAAH2dr5o=")</f>
        <v>#REF!</v>
      </c>
      <c r="EZ12" t="e">
        <f>AND(#REF!,"AAAAAH2dr5s=")</f>
        <v>#REF!</v>
      </c>
      <c r="FA12" t="e">
        <f>AND(#REF!,"AAAAAH2dr5w=")</f>
        <v>#REF!</v>
      </c>
      <c r="FB12" t="e">
        <f>AND(#REF!,"AAAAAH2dr50=")</f>
        <v>#REF!</v>
      </c>
      <c r="FC12" t="e">
        <f>AND(#REF!,"AAAAAH2dr54=")</f>
        <v>#REF!</v>
      </c>
      <c r="FD12" t="e">
        <f>AND(#REF!,"AAAAAH2dr58=")</f>
        <v>#REF!</v>
      </c>
      <c r="FE12" t="e">
        <f>AND(#REF!,"AAAAAH2dr6A=")</f>
        <v>#REF!</v>
      </c>
      <c r="FF12" t="e">
        <f>AND(#REF!,"AAAAAH2dr6E=")</f>
        <v>#REF!</v>
      </c>
      <c r="FG12" t="e">
        <f>AND(#REF!,"AAAAAH2dr6I=")</f>
        <v>#REF!</v>
      </c>
      <c r="FH12" t="e">
        <f>AND(#REF!,"AAAAAH2dr6M=")</f>
        <v>#REF!</v>
      </c>
      <c r="FI12" t="e">
        <f>AND(#REF!,"AAAAAH2dr6Q=")</f>
        <v>#REF!</v>
      </c>
      <c r="FJ12" t="e">
        <f>AND(#REF!,"AAAAAH2dr6U=")</f>
        <v>#REF!</v>
      </c>
      <c r="FK12" t="e">
        <f>AND(#REF!,"AAAAAH2dr6Y=")</f>
        <v>#REF!</v>
      </c>
      <c r="FL12" t="e">
        <f>AND(#REF!,"AAAAAH2dr6c=")</f>
        <v>#REF!</v>
      </c>
      <c r="FM12" t="e">
        <f>AND(#REF!,"AAAAAH2dr6g=")</f>
        <v>#REF!</v>
      </c>
      <c r="FN12" t="e">
        <f>AND(#REF!,"AAAAAH2dr6k=")</f>
        <v>#REF!</v>
      </c>
      <c r="FO12" t="e">
        <f>AND(#REF!,"AAAAAH2dr6o=")</f>
        <v>#REF!</v>
      </c>
      <c r="FP12" t="e">
        <f>AND(#REF!,"AAAAAH2dr6s=")</f>
        <v>#REF!</v>
      </c>
      <c r="FQ12" t="e">
        <f>AND(#REF!,"AAAAAH2dr6w=")</f>
        <v>#REF!</v>
      </c>
      <c r="FR12" t="e">
        <f>AND(#REF!,"AAAAAH2dr60=")</f>
        <v>#REF!</v>
      </c>
      <c r="FS12" t="e">
        <f>AND(#REF!,"AAAAAH2dr64=")</f>
        <v>#REF!</v>
      </c>
      <c r="FT12" t="e">
        <f>AND(#REF!,"AAAAAH2dr68=")</f>
        <v>#REF!</v>
      </c>
      <c r="FU12" t="e">
        <f>AND(#REF!,"AAAAAH2dr7A=")</f>
        <v>#REF!</v>
      </c>
      <c r="FV12" t="e">
        <f>IF(#REF!,"AAAAAH2dr7E=",0)</f>
        <v>#REF!</v>
      </c>
      <c r="FW12" t="e">
        <f>AND(#REF!,"AAAAAH2dr7I=")</f>
        <v>#REF!</v>
      </c>
      <c r="FX12" t="e">
        <f>AND(#REF!,"AAAAAH2dr7M=")</f>
        <v>#REF!</v>
      </c>
      <c r="FY12" t="e">
        <f>AND(#REF!,"AAAAAH2dr7Q=")</f>
        <v>#REF!</v>
      </c>
      <c r="FZ12" t="e">
        <f>AND(#REF!,"AAAAAH2dr7U=")</f>
        <v>#REF!</v>
      </c>
      <c r="GA12" t="e">
        <f>AND(#REF!,"AAAAAH2dr7Y=")</f>
        <v>#REF!</v>
      </c>
      <c r="GB12" t="e">
        <f>AND(#REF!,"AAAAAH2dr7c=")</f>
        <v>#REF!</v>
      </c>
      <c r="GC12" t="e">
        <f>AND(#REF!,"AAAAAH2dr7g=")</f>
        <v>#REF!</v>
      </c>
      <c r="GD12" t="e">
        <f>AND(#REF!,"AAAAAH2dr7k=")</f>
        <v>#REF!</v>
      </c>
      <c r="GE12" t="e">
        <f>AND(#REF!,"AAAAAH2dr7o=")</f>
        <v>#REF!</v>
      </c>
      <c r="GF12" t="e">
        <f>AND(#REF!,"AAAAAH2dr7s=")</f>
        <v>#REF!</v>
      </c>
      <c r="GG12" t="e">
        <f>AND(#REF!,"AAAAAH2dr7w=")</f>
        <v>#REF!</v>
      </c>
      <c r="GH12" t="e">
        <f>AND(#REF!,"AAAAAH2dr70=")</f>
        <v>#REF!</v>
      </c>
      <c r="GI12" t="e">
        <f>AND(#REF!,"AAAAAH2dr74=")</f>
        <v>#REF!</v>
      </c>
      <c r="GJ12" t="e">
        <f>AND(#REF!,"AAAAAH2dr78=")</f>
        <v>#REF!</v>
      </c>
      <c r="GK12" t="e">
        <f>AND(#REF!,"AAAAAH2dr8A=")</f>
        <v>#REF!</v>
      </c>
      <c r="GL12" t="e">
        <f>AND(#REF!,"AAAAAH2dr8E=")</f>
        <v>#REF!</v>
      </c>
      <c r="GM12" t="e">
        <f>AND(#REF!,"AAAAAH2dr8I=")</f>
        <v>#REF!</v>
      </c>
      <c r="GN12" t="e">
        <f>AND(#REF!,"AAAAAH2dr8M=")</f>
        <v>#REF!</v>
      </c>
      <c r="GO12" t="e">
        <f>AND(#REF!,"AAAAAH2dr8Q=")</f>
        <v>#REF!</v>
      </c>
      <c r="GP12" t="e">
        <f>AND(#REF!,"AAAAAH2dr8U=")</f>
        <v>#REF!</v>
      </c>
      <c r="GQ12" t="e">
        <f>AND(#REF!,"AAAAAH2dr8Y=")</f>
        <v>#REF!</v>
      </c>
      <c r="GR12" t="e">
        <f>AND(#REF!,"AAAAAH2dr8c=")</f>
        <v>#REF!</v>
      </c>
      <c r="GS12" t="e">
        <f>AND(#REF!,"AAAAAH2dr8g=")</f>
        <v>#REF!</v>
      </c>
      <c r="GT12" t="e">
        <f>AND(#REF!,"AAAAAH2dr8k=")</f>
        <v>#REF!</v>
      </c>
      <c r="GU12" t="e">
        <f>AND(#REF!,"AAAAAH2dr8o=")</f>
        <v>#REF!</v>
      </c>
      <c r="GV12" t="e">
        <f>AND(#REF!,"AAAAAH2dr8s=")</f>
        <v>#REF!</v>
      </c>
      <c r="GW12" t="e">
        <f>AND(#REF!,"AAAAAH2dr8w=")</f>
        <v>#REF!</v>
      </c>
      <c r="GX12" t="e">
        <f>AND(#REF!,"AAAAAH2dr80=")</f>
        <v>#REF!</v>
      </c>
      <c r="GY12" t="e">
        <f>IF(#REF!,"AAAAAH2dr84=",0)</f>
        <v>#REF!</v>
      </c>
      <c r="GZ12" t="e">
        <f>AND(#REF!,"AAAAAH2dr88=")</f>
        <v>#REF!</v>
      </c>
      <c r="HA12" t="e">
        <f>AND(#REF!,"AAAAAH2dr9A=")</f>
        <v>#REF!</v>
      </c>
      <c r="HB12" t="e">
        <f>AND(#REF!,"AAAAAH2dr9E=")</f>
        <v>#REF!</v>
      </c>
      <c r="HC12" t="e">
        <f>AND(#REF!,"AAAAAH2dr9I=")</f>
        <v>#REF!</v>
      </c>
      <c r="HD12" t="e">
        <f>AND(#REF!,"AAAAAH2dr9M=")</f>
        <v>#REF!</v>
      </c>
      <c r="HE12" t="e">
        <f>AND(#REF!,"AAAAAH2dr9Q=")</f>
        <v>#REF!</v>
      </c>
      <c r="HF12" t="e">
        <f>AND(#REF!,"AAAAAH2dr9U=")</f>
        <v>#REF!</v>
      </c>
      <c r="HG12" t="e">
        <f>AND(#REF!,"AAAAAH2dr9Y=")</f>
        <v>#REF!</v>
      </c>
      <c r="HH12" t="e">
        <f>AND(#REF!,"AAAAAH2dr9c=")</f>
        <v>#REF!</v>
      </c>
      <c r="HI12" t="e">
        <f>AND(#REF!,"AAAAAH2dr9g=")</f>
        <v>#REF!</v>
      </c>
      <c r="HJ12" t="e">
        <f>AND(#REF!,"AAAAAH2dr9k=")</f>
        <v>#REF!</v>
      </c>
      <c r="HK12" t="e">
        <f>AND(#REF!,"AAAAAH2dr9o=")</f>
        <v>#REF!</v>
      </c>
      <c r="HL12" t="e">
        <f>AND(#REF!,"AAAAAH2dr9s=")</f>
        <v>#REF!</v>
      </c>
      <c r="HM12" t="e">
        <f>AND(#REF!,"AAAAAH2dr9w=")</f>
        <v>#REF!</v>
      </c>
      <c r="HN12" t="e">
        <f>AND(#REF!,"AAAAAH2dr90=")</f>
        <v>#REF!</v>
      </c>
      <c r="HO12" t="e">
        <f>AND(#REF!,"AAAAAH2dr94=")</f>
        <v>#REF!</v>
      </c>
      <c r="HP12" t="e">
        <f>AND(#REF!,"AAAAAH2dr98=")</f>
        <v>#REF!</v>
      </c>
      <c r="HQ12" t="e">
        <f>AND(#REF!,"AAAAAH2dr+A=")</f>
        <v>#REF!</v>
      </c>
      <c r="HR12" t="e">
        <f>AND(#REF!,"AAAAAH2dr+E=")</f>
        <v>#REF!</v>
      </c>
      <c r="HS12" t="e">
        <f>AND(#REF!,"AAAAAH2dr+I=")</f>
        <v>#REF!</v>
      </c>
      <c r="HT12" t="e">
        <f>AND(#REF!,"AAAAAH2dr+M=")</f>
        <v>#REF!</v>
      </c>
      <c r="HU12" t="e">
        <f>AND(#REF!,"AAAAAH2dr+Q=")</f>
        <v>#REF!</v>
      </c>
      <c r="HV12" t="e">
        <f>AND(#REF!,"AAAAAH2dr+U=")</f>
        <v>#REF!</v>
      </c>
      <c r="HW12" t="e">
        <f>AND(#REF!,"AAAAAH2dr+Y=")</f>
        <v>#REF!</v>
      </c>
      <c r="HX12" t="e">
        <f>AND(#REF!,"AAAAAH2dr+c=")</f>
        <v>#REF!</v>
      </c>
      <c r="HY12" t="e">
        <f>AND(#REF!,"AAAAAH2dr+g=")</f>
        <v>#REF!</v>
      </c>
      <c r="HZ12" t="e">
        <f>AND(#REF!,"AAAAAH2dr+k=")</f>
        <v>#REF!</v>
      </c>
      <c r="IA12" t="e">
        <f>AND(#REF!,"AAAAAH2dr+o=")</f>
        <v>#REF!</v>
      </c>
      <c r="IB12" t="e">
        <f>IF(#REF!,"AAAAAH2dr+s=",0)</f>
        <v>#REF!</v>
      </c>
      <c r="IC12" t="e">
        <f>AND(#REF!,"AAAAAH2dr+w=")</f>
        <v>#REF!</v>
      </c>
      <c r="ID12" t="e">
        <f>AND(#REF!,"AAAAAH2dr+0=")</f>
        <v>#REF!</v>
      </c>
      <c r="IE12" t="e">
        <f>AND(#REF!,"AAAAAH2dr+4=")</f>
        <v>#REF!</v>
      </c>
      <c r="IF12" t="e">
        <f>AND(#REF!,"AAAAAH2dr+8=")</f>
        <v>#REF!</v>
      </c>
      <c r="IG12" t="e">
        <f>AND(#REF!,"AAAAAH2dr/A=")</f>
        <v>#REF!</v>
      </c>
      <c r="IH12" t="e">
        <f>AND(#REF!,"AAAAAH2dr/E=")</f>
        <v>#REF!</v>
      </c>
      <c r="II12" t="e">
        <f>AND(#REF!,"AAAAAH2dr/I=")</f>
        <v>#REF!</v>
      </c>
      <c r="IJ12" t="e">
        <f>AND(#REF!,"AAAAAH2dr/M=")</f>
        <v>#REF!</v>
      </c>
      <c r="IK12" t="e">
        <f>AND(#REF!,"AAAAAH2dr/Q=")</f>
        <v>#REF!</v>
      </c>
      <c r="IL12" t="e">
        <f>AND(#REF!,"AAAAAH2dr/U=")</f>
        <v>#REF!</v>
      </c>
      <c r="IM12" t="e">
        <f>AND(#REF!,"AAAAAH2dr/Y=")</f>
        <v>#REF!</v>
      </c>
      <c r="IN12" t="e">
        <f>AND(#REF!,"AAAAAH2dr/c=")</f>
        <v>#REF!</v>
      </c>
      <c r="IO12" t="e">
        <f>AND(#REF!,"AAAAAH2dr/g=")</f>
        <v>#REF!</v>
      </c>
      <c r="IP12" t="e">
        <f>AND(#REF!,"AAAAAH2dr/k=")</f>
        <v>#REF!</v>
      </c>
      <c r="IQ12" t="e">
        <f>AND(#REF!,"AAAAAH2dr/o=")</f>
        <v>#REF!</v>
      </c>
      <c r="IR12" t="e">
        <f>AND(#REF!,"AAAAAH2dr/s=")</f>
        <v>#REF!</v>
      </c>
      <c r="IS12" t="e">
        <f>AND(#REF!,"AAAAAH2dr/w=")</f>
        <v>#REF!</v>
      </c>
      <c r="IT12" t="e">
        <f>AND(#REF!,"AAAAAH2dr/0=")</f>
        <v>#REF!</v>
      </c>
      <c r="IU12" t="e">
        <f>AND(#REF!,"AAAAAH2dr/4=")</f>
        <v>#REF!</v>
      </c>
      <c r="IV12" t="e">
        <f>AND(#REF!,"AAAAAH2dr/8=")</f>
        <v>#REF!</v>
      </c>
    </row>
    <row r="13" spans="1:256" x14ac:dyDescent="0.2">
      <c r="A13" t="e">
        <f>AND(#REF!,"AAAAAGv/9gA=")</f>
        <v>#REF!</v>
      </c>
      <c r="B13" t="e">
        <f>AND(#REF!,"AAAAAGv/9gE=")</f>
        <v>#REF!</v>
      </c>
      <c r="C13" t="e">
        <f>AND(#REF!,"AAAAAGv/9gI=")</f>
        <v>#REF!</v>
      </c>
      <c r="D13" t="e">
        <f>AND(#REF!,"AAAAAGv/9gM=")</f>
        <v>#REF!</v>
      </c>
      <c r="E13" t="e">
        <f>AND(#REF!,"AAAAAGv/9gQ=")</f>
        <v>#REF!</v>
      </c>
      <c r="F13" t="e">
        <f>AND(#REF!,"AAAAAGv/9gU=")</f>
        <v>#REF!</v>
      </c>
      <c r="G13" t="e">
        <f>AND(#REF!,"AAAAAGv/9gY=")</f>
        <v>#REF!</v>
      </c>
      <c r="H13" t="e">
        <f>AND(#REF!,"AAAAAGv/9gc=")</f>
        <v>#REF!</v>
      </c>
      <c r="I13" t="e">
        <f>IF(#REF!,"AAAAAGv/9gg=",0)</f>
        <v>#REF!</v>
      </c>
      <c r="J13" t="e">
        <f>AND(#REF!,"AAAAAGv/9gk=")</f>
        <v>#REF!</v>
      </c>
      <c r="K13" t="e">
        <f>AND(#REF!,"AAAAAGv/9go=")</f>
        <v>#REF!</v>
      </c>
      <c r="L13" t="e">
        <f>AND(#REF!,"AAAAAGv/9gs=")</f>
        <v>#REF!</v>
      </c>
      <c r="M13" t="e">
        <f>AND(#REF!,"AAAAAGv/9gw=")</f>
        <v>#REF!</v>
      </c>
      <c r="N13" t="e">
        <f>AND(#REF!,"AAAAAGv/9g0=")</f>
        <v>#REF!</v>
      </c>
      <c r="O13" t="e">
        <f>AND(#REF!,"AAAAAGv/9g4=")</f>
        <v>#REF!</v>
      </c>
      <c r="P13" t="e">
        <f>AND(#REF!,"AAAAAGv/9g8=")</f>
        <v>#REF!</v>
      </c>
      <c r="Q13" t="e">
        <f>AND(#REF!,"AAAAAGv/9hA=")</f>
        <v>#REF!</v>
      </c>
      <c r="R13" t="e">
        <f>AND(#REF!,"AAAAAGv/9hE=")</f>
        <v>#REF!</v>
      </c>
      <c r="S13" t="e">
        <f>AND(#REF!,"AAAAAGv/9hI=")</f>
        <v>#REF!</v>
      </c>
      <c r="T13" t="e">
        <f>AND(#REF!,"AAAAAGv/9hM=")</f>
        <v>#REF!</v>
      </c>
      <c r="U13" t="e">
        <f>AND(#REF!,"AAAAAGv/9hQ=")</f>
        <v>#REF!</v>
      </c>
      <c r="V13" t="e">
        <f>AND(#REF!,"AAAAAGv/9hU=")</f>
        <v>#REF!</v>
      </c>
      <c r="W13" t="e">
        <f>AND(#REF!,"AAAAAGv/9hY=")</f>
        <v>#REF!</v>
      </c>
      <c r="X13" t="e">
        <f>AND(#REF!,"AAAAAGv/9hc=")</f>
        <v>#REF!</v>
      </c>
      <c r="Y13" t="e">
        <f>AND(#REF!,"AAAAAGv/9hg=")</f>
        <v>#REF!</v>
      </c>
      <c r="Z13" t="e">
        <f>AND(#REF!,"AAAAAGv/9hk=")</f>
        <v>#REF!</v>
      </c>
      <c r="AA13" t="e">
        <f>AND(#REF!,"AAAAAGv/9ho=")</f>
        <v>#REF!</v>
      </c>
      <c r="AB13" t="e">
        <f>AND(#REF!,"AAAAAGv/9hs=")</f>
        <v>#REF!</v>
      </c>
      <c r="AC13" t="e">
        <f>AND(#REF!,"AAAAAGv/9hw=")</f>
        <v>#REF!</v>
      </c>
      <c r="AD13" t="e">
        <f>AND(#REF!,"AAAAAGv/9h0=")</f>
        <v>#REF!</v>
      </c>
      <c r="AE13" t="e">
        <f>AND(#REF!,"AAAAAGv/9h4=")</f>
        <v>#REF!</v>
      </c>
      <c r="AF13" t="e">
        <f>AND(#REF!,"AAAAAGv/9h8=")</f>
        <v>#REF!</v>
      </c>
      <c r="AG13" t="e">
        <f>AND(#REF!,"AAAAAGv/9iA=")</f>
        <v>#REF!</v>
      </c>
      <c r="AH13" t="e">
        <f>AND(#REF!,"AAAAAGv/9iE=")</f>
        <v>#REF!</v>
      </c>
      <c r="AI13" t="e">
        <f>AND(#REF!,"AAAAAGv/9iI=")</f>
        <v>#REF!</v>
      </c>
      <c r="AJ13" t="e">
        <f>AND(#REF!,"AAAAAGv/9iM=")</f>
        <v>#REF!</v>
      </c>
      <c r="AK13" t="e">
        <f>AND(#REF!,"AAAAAGv/9iQ=")</f>
        <v>#REF!</v>
      </c>
      <c r="AL13" t="e">
        <f>IF(#REF!,"AAAAAGv/9iU=",0)</f>
        <v>#REF!</v>
      </c>
      <c r="AM13" t="e">
        <f>AND(#REF!,"AAAAAGv/9iY=")</f>
        <v>#REF!</v>
      </c>
      <c r="AN13" t="e">
        <f>AND(#REF!,"AAAAAGv/9ic=")</f>
        <v>#REF!</v>
      </c>
      <c r="AO13" t="e">
        <f>AND(#REF!,"AAAAAGv/9ig=")</f>
        <v>#REF!</v>
      </c>
      <c r="AP13" t="e">
        <f>AND(#REF!,"AAAAAGv/9ik=")</f>
        <v>#REF!</v>
      </c>
      <c r="AQ13" t="e">
        <f>AND(#REF!,"AAAAAGv/9io=")</f>
        <v>#REF!</v>
      </c>
      <c r="AR13" t="e">
        <f>AND(#REF!,"AAAAAGv/9is=")</f>
        <v>#REF!</v>
      </c>
      <c r="AS13" t="e">
        <f>AND(#REF!,"AAAAAGv/9iw=")</f>
        <v>#REF!</v>
      </c>
      <c r="AT13" t="e">
        <f>AND(#REF!,"AAAAAGv/9i0=")</f>
        <v>#REF!</v>
      </c>
      <c r="AU13" t="e">
        <f>AND(#REF!,"AAAAAGv/9i4=")</f>
        <v>#REF!</v>
      </c>
      <c r="AV13" t="e">
        <f>AND(#REF!,"AAAAAGv/9i8=")</f>
        <v>#REF!</v>
      </c>
      <c r="AW13" t="e">
        <f>AND(#REF!,"AAAAAGv/9jA=")</f>
        <v>#REF!</v>
      </c>
      <c r="AX13" t="e">
        <f>AND(#REF!,"AAAAAGv/9jE=")</f>
        <v>#REF!</v>
      </c>
      <c r="AY13" t="e">
        <f>AND(#REF!,"AAAAAGv/9jI=")</f>
        <v>#REF!</v>
      </c>
      <c r="AZ13" t="e">
        <f>AND(#REF!,"AAAAAGv/9jM=")</f>
        <v>#REF!</v>
      </c>
      <c r="BA13" t="e">
        <f>AND(#REF!,"AAAAAGv/9jQ=")</f>
        <v>#REF!</v>
      </c>
      <c r="BB13" t="e">
        <f>AND(#REF!,"AAAAAGv/9jU=")</f>
        <v>#REF!</v>
      </c>
      <c r="BC13" t="e">
        <f>AND(#REF!,"AAAAAGv/9jY=")</f>
        <v>#REF!</v>
      </c>
      <c r="BD13" t="e">
        <f>AND(#REF!,"AAAAAGv/9jc=")</f>
        <v>#REF!</v>
      </c>
      <c r="BE13" t="e">
        <f>AND(#REF!,"AAAAAGv/9jg=")</f>
        <v>#REF!</v>
      </c>
      <c r="BF13" t="e">
        <f>AND(#REF!,"AAAAAGv/9jk=")</f>
        <v>#REF!</v>
      </c>
      <c r="BG13" t="e">
        <f>AND(#REF!,"AAAAAGv/9jo=")</f>
        <v>#REF!</v>
      </c>
      <c r="BH13" t="e">
        <f>AND(#REF!,"AAAAAGv/9js=")</f>
        <v>#REF!</v>
      </c>
      <c r="BI13" t="e">
        <f>AND(#REF!,"AAAAAGv/9jw=")</f>
        <v>#REF!</v>
      </c>
      <c r="BJ13" t="e">
        <f>AND(#REF!,"AAAAAGv/9j0=")</f>
        <v>#REF!</v>
      </c>
      <c r="BK13" t="e">
        <f>AND(#REF!,"AAAAAGv/9j4=")</f>
        <v>#REF!</v>
      </c>
      <c r="BL13" t="e">
        <f>AND(#REF!,"AAAAAGv/9j8=")</f>
        <v>#REF!</v>
      </c>
      <c r="BM13" t="e">
        <f>AND(#REF!,"AAAAAGv/9kA=")</f>
        <v>#REF!</v>
      </c>
      <c r="BN13" t="e">
        <f>AND(#REF!,"AAAAAGv/9kE=")</f>
        <v>#REF!</v>
      </c>
      <c r="BO13" t="e">
        <f>IF(#REF!,"AAAAAGv/9kI=",0)</f>
        <v>#REF!</v>
      </c>
      <c r="BP13" t="e">
        <f>AND(#REF!,"AAAAAGv/9kM=")</f>
        <v>#REF!</v>
      </c>
      <c r="BQ13" t="e">
        <f>AND(#REF!,"AAAAAGv/9kQ=")</f>
        <v>#REF!</v>
      </c>
      <c r="BR13" t="e">
        <f>AND(#REF!,"AAAAAGv/9kU=")</f>
        <v>#REF!</v>
      </c>
      <c r="BS13" t="e">
        <f>AND(#REF!,"AAAAAGv/9kY=")</f>
        <v>#REF!</v>
      </c>
      <c r="BT13" t="e">
        <f>AND(#REF!,"AAAAAGv/9kc=")</f>
        <v>#REF!</v>
      </c>
      <c r="BU13" t="e">
        <f>AND(#REF!,"AAAAAGv/9kg=")</f>
        <v>#REF!</v>
      </c>
      <c r="BV13" t="e">
        <f>AND(#REF!,"AAAAAGv/9kk=")</f>
        <v>#REF!</v>
      </c>
      <c r="BW13" t="e">
        <f>AND(#REF!,"AAAAAGv/9ko=")</f>
        <v>#REF!</v>
      </c>
      <c r="BX13" t="e">
        <f>AND(#REF!,"AAAAAGv/9ks=")</f>
        <v>#REF!</v>
      </c>
      <c r="BY13" t="e">
        <f>AND(#REF!,"AAAAAGv/9kw=")</f>
        <v>#REF!</v>
      </c>
      <c r="BZ13" t="e">
        <f>AND(#REF!,"AAAAAGv/9k0=")</f>
        <v>#REF!</v>
      </c>
      <c r="CA13" t="e">
        <f>AND(#REF!,"AAAAAGv/9k4=")</f>
        <v>#REF!</v>
      </c>
      <c r="CB13" t="e">
        <f>AND(#REF!,"AAAAAGv/9k8=")</f>
        <v>#REF!</v>
      </c>
      <c r="CC13" t="e">
        <f>AND(#REF!,"AAAAAGv/9lA=")</f>
        <v>#REF!</v>
      </c>
      <c r="CD13" t="e">
        <f>AND(#REF!,"AAAAAGv/9lE=")</f>
        <v>#REF!</v>
      </c>
      <c r="CE13" t="e">
        <f>AND(#REF!,"AAAAAGv/9lI=")</f>
        <v>#REF!</v>
      </c>
      <c r="CF13" t="e">
        <f>AND(#REF!,"AAAAAGv/9lM=")</f>
        <v>#REF!</v>
      </c>
      <c r="CG13" t="e">
        <f>AND(#REF!,"AAAAAGv/9lQ=")</f>
        <v>#REF!</v>
      </c>
      <c r="CH13" t="e">
        <f>AND(#REF!,"AAAAAGv/9lU=")</f>
        <v>#REF!</v>
      </c>
      <c r="CI13" t="e">
        <f>AND(#REF!,"AAAAAGv/9lY=")</f>
        <v>#REF!</v>
      </c>
      <c r="CJ13" t="e">
        <f>AND(#REF!,"AAAAAGv/9lc=")</f>
        <v>#REF!</v>
      </c>
      <c r="CK13" t="e">
        <f>AND(#REF!,"AAAAAGv/9lg=")</f>
        <v>#REF!</v>
      </c>
      <c r="CL13" t="e">
        <f>AND(#REF!,"AAAAAGv/9lk=")</f>
        <v>#REF!</v>
      </c>
      <c r="CM13" t="e">
        <f>AND(#REF!,"AAAAAGv/9lo=")</f>
        <v>#REF!</v>
      </c>
      <c r="CN13" t="e">
        <f>AND(#REF!,"AAAAAGv/9ls=")</f>
        <v>#REF!</v>
      </c>
      <c r="CO13" t="e">
        <f>AND(#REF!,"AAAAAGv/9lw=")</f>
        <v>#REF!</v>
      </c>
      <c r="CP13" t="e">
        <f>AND(#REF!,"AAAAAGv/9l0=")</f>
        <v>#REF!</v>
      </c>
      <c r="CQ13" t="e">
        <f>AND(#REF!,"AAAAAGv/9l4=")</f>
        <v>#REF!</v>
      </c>
      <c r="CR13" t="e">
        <f>IF(#REF!,"AAAAAGv/9l8=",0)</f>
        <v>#REF!</v>
      </c>
      <c r="CS13" t="e">
        <f>AND(#REF!,"AAAAAGv/9mA=")</f>
        <v>#REF!</v>
      </c>
      <c r="CT13" t="e">
        <f>AND(#REF!,"AAAAAGv/9mE=")</f>
        <v>#REF!</v>
      </c>
      <c r="CU13" t="e">
        <f>AND(#REF!,"AAAAAGv/9mI=")</f>
        <v>#REF!</v>
      </c>
      <c r="CV13" t="e">
        <f>AND(#REF!,"AAAAAGv/9mM=")</f>
        <v>#REF!</v>
      </c>
      <c r="CW13" t="e">
        <f>AND(#REF!,"AAAAAGv/9mQ=")</f>
        <v>#REF!</v>
      </c>
      <c r="CX13" t="e">
        <f>AND(#REF!,"AAAAAGv/9mU=")</f>
        <v>#REF!</v>
      </c>
      <c r="CY13" t="e">
        <f>AND(#REF!,"AAAAAGv/9mY=")</f>
        <v>#REF!</v>
      </c>
      <c r="CZ13" t="e">
        <f>AND(#REF!,"AAAAAGv/9mc=")</f>
        <v>#REF!</v>
      </c>
      <c r="DA13" t="e">
        <f>AND(#REF!,"AAAAAGv/9mg=")</f>
        <v>#REF!</v>
      </c>
      <c r="DB13" t="e">
        <f>AND(#REF!,"AAAAAGv/9mk=")</f>
        <v>#REF!</v>
      </c>
      <c r="DC13" t="e">
        <f>AND(#REF!,"AAAAAGv/9mo=")</f>
        <v>#REF!</v>
      </c>
      <c r="DD13" t="e">
        <f>AND(#REF!,"AAAAAGv/9ms=")</f>
        <v>#REF!</v>
      </c>
      <c r="DE13" t="e">
        <f>AND(#REF!,"AAAAAGv/9mw=")</f>
        <v>#REF!</v>
      </c>
      <c r="DF13" t="e">
        <f>AND(#REF!,"AAAAAGv/9m0=")</f>
        <v>#REF!</v>
      </c>
      <c r="DG13" t="e">
        <f>AND(#REF!,"AAAAAGv/9m4=")</f>
        <v>#REF!</v>
      </c>
      <c r="DH13" t="e">
        <f>AND(#REF!,"AAAAAGv/9m8=")</f>
        <v>#REF!</v>
      </c>
      <c r="DI13" t="e">
        <f>AND(#REF!,"AAAAAGv/9nA=")</f>
        <v>#REF!</v>
      </c>
      <c r="DJ13" t="e">
        <f>AND(#REF!,"AAAAAGv/9nE=")</f>
        <v>#REF!</v>
      </c>
      <c r="DK13" t="e">
        <f>AND(#REF!,"AAAAAGv/9nI=")</f>
        <v>#REF!</v>
      </c>
      <c r="DL13" t="e">
        <f>AND(#REF!,"AAAAAGv/9nM=")</f>
        <v>#REF!</v>
      </c>
      <c r="DM13" t="e">
        <f>AND(#REF!,"AAAAAGv/9nQ=")</f>
        <v>#REF!</v>
      </c>
      <c r="DN13" t="e">
        <f>AND(#REF!,"AAAAAGv/9nU=")</f>
        <v>#REF!</v>
      </c>
      <c r="DO13" t="e">
        <f>AND(#REF!,"AAAAAGv/9nY=")</f>
        <v>#REF!</v>
      </c>
      <c r="DP13" t="e">
        <f>AND(#REF!,"AAAAAGv/9nc=")</f>
        <v>#REF!</v>
      </c>
      <c r="DQ13" t="e">
        <f>AND(#REF!,"AAAAAGv/9ng=")</f>
        <v>#REF!</v>
      </c>
      <c r="DR13" t="e">
        <f>AND(#REF!,"AAAAAGv/9nk=")</f>
        <v>#REF!</v>
      </c>
      <c r="DS13" t="e">
        <f>AND(#REF!,"AAAAAGv/9no=")</f>
        <v>#REF!</v>
      </c>
      <c r="DT13" t="e">
        <f>AND(#REF!,"AAAAAGv/9ns=")</f>
        <v>#REF!</v>
      </c>
      <c r="DU13" t="e">
        <f>IF(#REF!,"AAAAAGv/9nw=",0)</f>
        <v>#REF!</v>
      </c>
      <c r="DV13" t="e">
        <f>AND(#REF!,"AAAAAGv/9n0=")</f>
        <v>#REF!</v>
      </c>
      <c r="DW13" t="e">
        <f>AND(#REF!,"AAAAAGv/9n4=")</f>
        <v>#REF!</v>
      </c>
      <c r="DX13" t="e">
        <f>AND(#REF!,"AAAAAGv/9n8=")</f>
        <v>#REF!</v>
      </c>
      <c r="DY13" t="e">
        <f>AND(#REF!,"AAAAAGv/9oA=")</f>
        <v>#REF!</v>
      </c>
      <c r="DZ13" t="e">
        <f>AND(#REF!,"AAAAAGv/9oE=")</f>
        <v>#REF!</v>
      </c>
      <c r="EA13" t="e">
        <f>AND(#REF!,"AAAAAGv/9oI=")</f>
        <v>#REF!</v>
      </c>
      <c r="EB13" t="e">
        <f>AND(#REF!,"AAAAAGv/9oM=")</f>
        <v>#REF!</v>
      </c>
      <c r="EC13" t="e">
        <f>AND(#REF!,"AAAAAGv/9oQ=")</f>
        <v>#REF!</v>
      </c>
      <c r="ED13" t="e">
        <f>AND(#REF!,"AAAAAGv/9oU=")</f>
        <v>#REF!</v>
      </c>
      <c r="EE13" t="e">
        <f>AND(#REF!,"AAAAAGv/9oY=")</f>
        <v>#REF!</v>
      </c>
      <c r="EF13" t="e">
        <f>AND(#REF!,"AAAAAGv/9oc=")</f>
        <v>#REF!</v>
      </c>
      <c r="EG13" t="e">
        <f>AND(#REF!,"AAAAAGv/9og=")</f>
        <v>#REF!</v>
      </c>
      <c r="EH13" t="e">
        <f>AND(#REF!,"AAAAAGv/9ok=")</f>
        <v>#REF!</v>
      </c>
      <c r="EI13" t="e">
        <f>AND(#REF!,"AAAAAGv/9oo=")</f>
        <v>#REF!</v>
      </c>
      <c r="EJ13" t="e">
        <f>AND(#REF!,"AAAAAGv/9os=")</f>
        <v>#REF!</v>
      </c>
      <c r="EK13" t="e">
        <f>AND(#REF!,"AAAAAGv/9ow=")</f>
        <v>#REF!</v>
      </c>
      <c r="EL13" t="e">
        <f>AND(#REF!,"AAAAAGv/9o0=")</f>
        <v>#REF!</v>
      </c>
      <c r="EM13" t="e">
        <f>AND(#REF!,"AAAAAGv/9o4=")</f>
        <v>#REF!</v>
      </c>
      <c r="EN13" t="e">
        <f>AND(#REF!,"AAAAAGv/9o8=")</f>
        <v>#REF!</v>
      </c>
      <c r="EO13" t="e">
        <f>AND(#REF!,"AAAAAGv/9pA=")</f>
        <v>#REF!</v>
      </c>
      <c r="EP13" t="e">
        <f>AND(#REF!,"AAAAAGv/9pE=")</f>
        <v>#REF!</v>
      </c>
      <c r="EQ13" t="e">
        <f>AND(#REF!,"AAAAAGv/9pI=")</f>
        <v>#REF!</v>
      </c>
      <c r="ER13" t="e">
        <f>AND(#REF!,"AAAAAGv/9pM=")</f>
        <v>#REF!</v>
      </c>
      <c r="ES13" t="e">
        <f>AND(#REF!,"AAAAAGv/9pQ=")</f>
        <v>#REF!</v>
      </c>
      <c r="ET13" t="e">
        <f>AND(#REF!,"AAAAAGv/9pU=")</f>
        <v>#REF!</v>
      </c>
      <c r="EU13" t="e">
        <f>AND(#REF!,"AAAAAGv/9pY=")</f>
        <v>#REF!</v>
      </c>
      <c r="EV13" t="e">
        <f>AND(#REF!,"AAAAAGv/9pc=")</f>
        <v>#REF!</v>
      </c>
      <c r="EW13" t="e">
        <f>AND(#REF!,"AAAAAGv/9pg=")</f>
        <v>#REF!</v>
      </c>
      <c r="EX13" t="e">
        <f>IF(#REF!,"AAAAAGv/9pk=",0)</f>
        <v>#REF!</v>
      </c>
      <c r="EY13" t="e">
        <f>AND(#REF!,"AAAAAGv/9po=")</f>
        <v>#REF!</v>
      </c>
      <c r="EZ13" t="e">
        <f>AND(#REF!,"AAAAAGv/9ps=")</f>
        <v>#REF!</v>
      </c>
      <c r="FA13" t="e">
        <f>AND(#REF!,"AAAAAGv/9pw=")</f>
        <v>#REF!</v>
      </c>
      <c r="FB13" t="e">
        <f>AND(#REF!,"AAAAAGv/9p0=")</f>
        <v>#REF!</v>
      </c>
      <c r="FC13" t="e">
        <f>AND(#REF!,"AAAAAGv/9p4=")</f>
        <v>#REF!</v>
      </c>
      <c r="FD13" t="e">
        <f>AND(#REF!,"AAAAAGv/9p8=")</f>
        <v>#REF!</v>
      </c>
      <c r="FE13" t="e">
        <f>AND(#REF!,"AAAAAGv/9qA=")</f>
        <v>#REF!</v>
      </c>
      <c r="FF13" t="e">
        <f>AND(#REF!,"AAAAAGv/9qE=")</f>
        <v>#REF!</v>
      </c>
      <c r="FG13" t="e">
        <f>AND(#REF!,"AAAAAGv/9qI=")</f>
        <v>#REF!</v>
      </c>
      <c r="FH13" t="e">
        <f>AND(#REF!,"AAAAAGv/9qM=")</f>
        <v>#REF!</v>
      </c>
      <c r="FI13" t="e">
        <f>AND(#REF!,"AAAAAGv/9qQ=")</f>
        <v>#REF!</v>
      </c>
      <c r="FJ13" t="e">
        <f>AND(#REF!,"AAAAAGv/9qU=")</f>
        <v>#REF!</v>
      </c>
      <c r="FK13" t="e">
        <f>AND(#REF!,"AAAAAGv/9qY=")</f>
        <v>#REF!</v>
      </c>
      <c r="FL13" t="e">
        <f>AND(#REF!,"AAAAAGv/9qc=")</f>
        <v>#REF!</v>
      </c>
      <c r="FM13" t="e">
        <f>AND(#REF!,"AAAAAGv/9qg=")</f>
        <v>#REF!</v>
      </c>
      <c r="FN13" t="e">
        <f>AND(#REF!,"AAAAAGv/9qk=")</f>
        <v>#REF!</v>
      </c>
      <c r="FO13" t="e">
        <f>AND(#REF!,"AAAAAGv/9qo=")</f>
        <v>#REF!</v>
      </c>
      <c r="FP13" t="e">
        <f>AND(#REF!,"AAAAAGv/9qs=")</f>
        <v>#REF!</v>
      </c>
      <c r="FQ13" t="e">
        <f>AND(#REF!,"AAAAAGv/9qw=")</f>
        <v>#REF!</v>
      </c>
      <c r="FR13" t="e">
        <f>AND(#REF!,"AAAAAGv/9q0=")</f>
        <v>#REF!</v>
      </c>
      <c r="FS13" t="e">
        <f>AND(#REF!,"AAAAAGv/9q4=")</f>
        <v>#REF!</v>
      </c>
      <c r="FT13" t="e">
        <f>AND(#REF!,"AAAAAGv/9q8=")</f>
        <v>#REF!</v>
      </c>
      <c r="FU13" t="e">
        <f>AND(#REF!,"AAAAAGv/9rA=")</f>
        <v>#REF!</v>
      </c>
      <c r="FV13" t="e">
        <f>AND(#REF!,"AAAAAGv/9rE=")</f>
        <v>#REF!</v>
      </c>
      <c r="FW13" t="e">
        <f>AND(#REF!,"AAAAAGv/9rI=")</f>
        <v>#REF!</v>
      </c>
      <c r="FX13" t="e">
        <f>AND(#REF!,"AAAAAGv/9rM=")</f>
        <v>#REF!</v>
      </c>
      <c r="FY13" t="e">
        <f>AND(#REF!,"AAAAAGv/9rQ=")</f>
        <v>#REF!</v>
      </c>
      <c r="FZ13" t="e">
        <f>AND(#REF!,"AAAAAGv/9rU=")</f>
        <v>#REF!</v>
      </c>
      <c r="GA13" t="e">
        <f>IF(#REF!,"AAAAAGv/9rY=",0)</f>
        <v>#REF!</v>
      </c>
      <c r="GB13" t="e">
        <f>AND(#REF!,"AAAAAGv/9rc=")</f>
        <v>#REF!</v>
      </c>
      <c r="GC13" t="e">
        <f>AND(#REF!,"AAAAAGv/9rg=")</f>
        <v>#REF!</v>
      </c>
      <c r="GD13" t="e">
        <f>AND(#REF!,"AAAAAGv/9rk=")</f>
        <v>#REF!</v>
      </c>
      <c r="GE13" t="e">
        <f>AND(#REF!,"AAAAAGv/9ro=")</f>
        <v>#REF!</v>
      </c>
      <c r="GF13" t="e">
        <f>AND(#REF!,"AAAAAGv/9rs=")</f>
        <v>#REF!</v>
      </c>
      <c r="GG13" t="e">
        <f>AND(#REF!,"AAAAAGv/9rw=")</f>
        <v>#REF!</v>
      </c>
      <c r="GH13" t="e">
        <f>AND(#REF!,"AAAAAGv/9r0=")</f>
        <v>#REF!</v>
      </c>
      <c r="GI13" t="e">
        <f>AND(#REF!,"AAAAAGv/9r4=")</f>
        <v>#REF!</v>
      </c>
      <c r="GJ13" t="e">
        <f>AND(#REF!,"AAAAAGv/9r8=")</f>
        <v>#REF!</v>
      </c>
      <c r="GK13" t="e">
        <f>AND(#REF!,"AAAAAGv/9sA=")</f>
        <v>#REF!</v>
      </c>
      <c r="GL13" t="e">
        <f>AND(#REF!,"AAAAAGv/9sE=")</f>
        <v>#REF!</v>
      </c>
      <c r="GM13" t="e">
        <f>AND(#REF!,"AAAAAGv/9sI=")</f>
        <v>#REF!</v>
      </c>
      <c r="GN13" t="e">
        <f>AND(#REF!,"AAAAAGv/9sM=")</f>
        <v>#REF!</v>
      </c>
      <c r="GO13" t="e">
        <f>AND(#REF!,"AAAAAGv/9sQ=")</f>
        <v>#REF!</v>
      </c>
      <c r="GP13" t="e">
        <f>AND(#REF!,"AAAAAGv/9sU=")</f>
        <v>#REF!</v>
      </c>
      <c r="GQ13" t="e">
        <f>AND(#REF!,"AAAAAGv/9sY=")</f>
        <v>#REF!</v>
      </c>
      <c r="GR13" t="e">
        <f>AND(#REF!,"AAAAAGv/9sc=")</f>
        <v>#REF!</v>
      </c>
      <c r="GS13" t="e">
        <f>AND(#REF!,"AAAAAGv/9sg=")</f>
        <v>#REF!</v>
      </c>
      <c r="GT13" t="e">
        <f>AND(#REF!,"AAAAAGv/9sk=")</f>
        <v>#REF!</v>
      </c>
      <c r="GU13" t="e">
        <f>AND(#REF!,"AAAAAGv/9so=")</f>
        <v>#REF!</v>
      </c>
      <c r="GV13" t="e">
        <f>AND(#REF!,"AAAAAGv/9ss=")</f>
        <v>#REF!</v>
      </c>
      <c r="GW13" t="e">
        <f>AND(#REF!,"AAAAAGv/9sw=")</f>
        <v>#REF!</v>
      </c>
      <c r="GX13" t="e">
        <f>AND(#REF!,"AAAAAGv/9s0=")</f>
        <v>#REF!</v>
      </c>
      <c r="GY13" t="e">
        <f>AND(#REF!,"AAAAAGv/9s4=")</f>
        <v>#REF!</v>
      </c>
      <c r="GZ13" t="e">
        <f>AND(#REF!,"AAAAAGv/9s8=")</f>
        <v>#REF!</v>
      </c>
      <c r="HA13" t="e">
        <f>AND(#REF!,"AAAAAGv/9tA=")</f>
        <v>#REF!</v>
      </c>
      <c r="HB13" t="e">
        <f>AND(#REF!,"AAAAAGv/9tE=")</f>
        <v>#REF!</v>
      </c>
      <c r="HC13" t="e">
        <f>AND(#REF!,"AAAAAGv/9tI=")</f>
        <v>#REF!</v>
      </c>
      <c r="HD13" t="e">
        <f>IF(#REF!,"AAAAAGv/9tM=",0)</f>
        <v>#REF!</v>
      </c>
      <c r="HE13" t="e">
        <f>AND(#REF!,"AAAAAGv/9tQ=")</f>
        <v>#REF!</v>
      </c>
      <c r="HF13" t="e">
        <f>AND(#REF!,"AAAAAGv/9tU=")</f>
        <v>#REF!</v>
      </c>
      <c r="HG13" t="e">
        <f>AND(#REF!,"AAAAAGv/9tY=")</f>
        <v>#REF!</v>
      </c>
      <c r="HH13" t="e">
        <f>AND(#REF!,"AAAAAGv/9tc=")</f>
        <v>#REF!</v>
      </c>
      <c r="HI13" t="e">
        <f>AND(#REF!,"AAAAAGv/9tg=")</f>
        <v>#REF!</v>
      </c>
      <c r="HJ13" t="e">
        <f>AND(#REF!,"AAAAAGv/9tk=")</f>
        <v>#REF!</v>
      </c>
      <c r="HK13" t="e">
        <f>AND(#REF!,"AAAAAGv/9to=")</f>
        <v>#REF!</v>
      </c>
      <c r="HL13" t="e">
        <f>AND(#REF!,"AAAAAGv/9ts=")</f>
        <v>#REF!</v>
      </c>
      <c r="HM13" t="e">
        <f>AND(#REF!,"AAAAAGv/9tw=")</f>
        <v>#REF!</v>
      </c>
      <c r="HN13" t="e">
        <f>AND(#REF!,"AAAAAGv/9t0=")</f>
        <v>#REF!</v>
      </c>
      <c r="HO13" t="e">
        <f>AND(#REF!,"AAAAAGv/9t4=")</f>
        <v>#REF!</v>
      </c>
      <c r="HP13" t="e">
        <f>AND(#REF!,"AAAAAGv/9t8=")</f>
        <v>#REF!</v>
      </c>
      <c r="HQ13" t="e">
        <f>AND(#REF!,"AAAAAGv/9uA=")</f>
        <v>#REF!</v>
      </c>
      <c r="HR13" t="e">
        <f>AND(#REF!,"AAAAAGv/9uE=")</f>
        <v>#REF!</v>
      </c>
      <c r="HS13" t="e">
        <f>AND(#REF!,"AAAAAGv/9uI=")</f>
        <v>#REF!</v>
      </c>
      <c r="HT13" t="e">
        <f>AND(#REF!,"AAAAAGv/9uM=")</f>
        <v>#REF!</v>
      </c>
      <c r="HU13" t="e">
        <f>AND(#REF!,"AAAAAGv/9uQ=")</f>
        <v>#REF!</v>
      </c>
      <c r="HV13" t="e">
        <f>AND(#REF!,"AAAAAGv/9uU=")</f>
        <v>#REF!</v>
      </c>
      <c r="HW13" t="e">
        <f>AND(#REF!,"AAAAAGv/9uY=")</f>
        <v>#REF!</v>
      </c>
      <c r="HX13" t="e">
        <f>AND(#REF!,"AAAAAGv/9uc=")</f>
        <v>#REF!</v>
      </c>
      <c r="HY13" t="e">
        <f>AND(#REF!,"AAAAAGv/9ug=")</f>
        <v>#REF!</v>
      </c>
      <c r="HZ13" t="e">
        <f>AND(#REF!,"AAAAAGv/9uk=")</f>
        <v>#REF!</v>
      </c>
      <c r="IA13" t="e">
        <f>AND(#REF!,"AAAAAGv/9uo=")</f>
        <v>#REF!</v>
      </c>
      <c r="IB13" t="e">
        <f>AND(#REF!,"AAAAAGv/9us=")</f>
        <v>#REF!</v>
      </c>
      <c r="IC13" t="e">
        <f>AND(#REF!,"AAAAAGv/9uw=")</f>
        <v>#REF!</v>
      </c>
      <c r="ID13" t="e">
        <f>AND(#REF!,"AAAAAGv/9u0=")</f>
        <v>#REF!</v>
      </c>
      <c r="IE13" t="e">
        <f>AND(#REF!,"AAAAAGv/9u4=")</f>
        <v>#REF!</v>
      </c>
      <c r="IF13" t="e">
        <f>AND(#REF!,"AAAAAGv/9u8=")</f>
        <v>#REF!</v>
      </c>
      <c r="IG13" t="e">
        <f>IF(#REF!,"AAAAAGv/9vA=",0)</f>
        <v>#REF!</v>
      </c>
      <c r="IH13" t="e">
        <f>AND(#REF!,"AAAAAGv/9vE=")</f>
        <v>#REF!</v>
      </c>
      <c r="II13" t="e">
        <f>AND(#REF!,"AAAAAGv/9vI=")</f>
        <v>#REF!</v>
      </c>
      <c r="IJ13" t="e">
        <f>AND(#REF!,"AAAAAGv/9vM=")</f>
        <v>#REF!</v>
      </c>
      <c r="IK13" t="e">
        <f>AND(#REF!,"AAAAAGv/9vQ=")</f>
        <v>#REF!</v>
      </c>
      <c r="IL13" t="e">
        <f>AND(#REF!,"AAAAAGv/9vU=")</f>
        <v>#REF!</v>
      </c>
      <c r="IM13" t="e">
        <f>AND(#REF!,"AAAAAGv/9vY=")</f>
        <v>#REF!</v>
      </c>
      <c r="IN13" t="e">
        <f>AND(#REF!,"AAAAAGv/9vc=")</f>
        <v>#REF!</v>
      </c>
      <c r="IO13" t="e">
        <f>AND(#REF!,"AAAAAGv/9vg=")</f>
        <v>#REF!</v>
      </c>
      <c r="IP13" t="e">
        <f>AND(#REF!,"AAAAAGv/9vk=")</f>
        <v>#REF!</v>
      </c>
      <c r="IQ13" t="e">
        <f>AND(#REF!,"AAAAAGv/9vo=")</f>
        <v>#REF!</v>
      </c>
      <c r="IR13" t="e">
        <f>AND(#REF!,"AAAAAGv/9vs=")</f>
        <v>#REF!</v>
      </c>
      <c r="IS13" t="e">
        <f>AND(#REF!,"AAAAAGv/9vw=")</f>
        <v>#REF!</v>
      </c>
      <c r="IT13" t="e">
        <f>AND(#REF!,"AAAAAGv/9v0=")</f>
        <v>#REF!</v>
      </c>
      <c r="IU13" t="e">
        <f>AND(#REF!,"AAAAAGv/9v4=")</f>
        <v>#REF!</v>
      </c>
      <c r="IV13" t="e">
        <f>AND(#REF!,"AAAAAGv/9v8=")</f>
        <v>#REF!</v>
      </c>
    </row>
    <row r="14" spans="1:256" x14ac:dyDescent="0.2">
      <c r="A14" t="e">
        <f>AND(#REF!,"AAAAAH/dYgA=")</f>
        <v>#REF!</v>
      </c>
      <c r="B14" t="e">
        <f>AND(#REF!,"AAAAAH/dYgE=")</f>
        <v>#REF!</v>
      </c>
      <c r="C14" t="e">
        <f>AND(#REF!,"AAAAAH/dYgI=")</f>
        <v>#REF!</v>
      </c>
      <c r="D14" t="e">
        <f>AND(#REF!,"AAAAAH/dYgM=")</f>
        <v>#REF!</v>
      </c>
      <c r="E14" t="e">
        <f>AND(#REF!,"AAAAAH/dYgQ=")</f>
        <v>#REF!</v>
      </c>
      <c r="F14" t="e">
        <f>AND(#REF!,"AAAAAH/dYgU=")</f>
        <v>#REF!</v>
      </c>
      <c r="G14" t="e">
        <f>AND(#REF!,"AAAAAH/dYgY=")</f>
        <v>#REF!</v>
      </c>
      <c r="H14" t="e">
        <f>AND(#REF!,"AAAAAH/dYgc=")</f>
        <v>#REF!</v>
      </c>
      <c r="I14" t="e">
        <f>AND(#REF!,"AAAAAH/dYgg=")</f>
        <v>#REF!</v>
      </c>
      <c r="J14" t="e">
        <f>AND(#REF!,"AAAAAH/dYgk=")</f>
        <v>#REF!</v>
      </c>
      <c r="K14" t="e">
        <f>AND(#REF!,"AAAAAH/dYgo=")</f>
        <v>#REF!</v>
      </c>
      <c r="L14" t="e">
        <f>AND(#REF!,"AAAAAH/dYgs=")</f>
        <v>#REF!</v>
      </c>
      <c r="M14" t="e">
        <f>AND(#REF!,"AAAAAH/dYgw=")</f>
        <v>#REF!</v>
      </c>
      <c r="N14" t="e">
        <f>IF(#REF!,"AAAAAH/dYg0=",0)</f>
        <v>#REF!</v>
      </c>
      <c r="O14" t="e">
        <f>AND(#REF!,"AAAAAH/dYg4=")</f>
        <v>#REF!</v>
      </c>
      <c r="P14" t="e">
        <f>AND(#REF!,"AAAAAH/dYg8=")</f>
        <v>#REF!</v>
      </c>
      <c r="Q14" t="e">
        <f>AND(#REF!,"AAAAAH/dYhA=")</f>
        <v>#REF!</v>
      </c>
      <c r="R14" t="e">
        <f>AND(#REF!,"AAAAAH/dYhE=")</f>
        <v>#REF!</v>
      </c>
      <c r="S14" t="e">
        <f>AND(#REF!,"AAAAAH/dYhI=")</f>
        <v>#REF!</v>
      </c>
      <c r="T14" t="e">
        <f>AND(#REF!,"AAAAAH/dYhM=")</f>
        <v>#REF!</v>
      </c>
      <c r="U14" t="e">
        <f>AND(#REF!,"AAAAAH/dYhQ=")</f>
        <v>#REF!</v>
      </c>
      <c r="V14" t="e">
        <f>AND(#REF!,"AAAAAH/dYhU=")</f>
        <v>#REF!</v>
      </c>
      <c r="W14" t="e">
        <f>AND(#REF!,"AAAAAH/dYhY=")</f>
        <v>#REF!</v>
      </c>
      <c r="X14" t="e">
        <f>AND(#REF!,"AAAAAH/dYhc=")</f>
        <v>#REF!</v>
      </c>
      <c r="Y14" t="e">
        <f>AND(#REF!,"AAAAAH/dYhg=")</f>
        <v>#REF!</v>
      </c>
      <c r="Z14" t="e">
        <f>AND(#REF!,"AAAAAH/dYhk=")</f>
        <v>#REF!</v>
      </c>
      <c r="AA14" t="e">
        <f>AND(#REF!,"AAAAAH/dYho=")</f>
        <v>#REF!</v>
      </c>
      <c r="AB14" t="e">
        <f>AND(#REF!,"AAAAAH/dYhs=")</f>
        <v>#REF!</v>
      </c>
      <c r="AC14" t="e">
        <f>AND(#REF!,"AAAAAH/dYhw=")</f>
        <v>#REF!</v>
      </c>
      <c r="AD14" t="e">
        <f>AND(#REF!,"AAAAAH/dYh0=")</f>
        <v>#REF!</v>
      </c>
      <c r="AE14" t="e">
        <f>AND(#REF!,"AAAAAH/dYh4=")</f>
        <v>#REF!</v>
      </c>
      <c r="AF14" t="e">
        <f>AND(#REF!,"AAAAAH/dYh8=")</f>
        <v>#REF!</v>
      </c>
      <c r="AG14" t="e">
        <f>AND(#REF!,"AAAAAH/dYiA=")</f>
        <v>#REF!</v>
      </c>
      <c r="AH14" t="e">
        <f>AND(#REF!,"AAAAAH/dYiE=")</f>
        <v>#REF!</v>
      </c>
      <c r="AI14" t="e">
        <f>AND(#REF!,"AAAAAH/dYiI=")</f>
        <v>#REF!</v>
      </c>
      <c r="AJ14" t="e">
        <f>AND(#REF!,"AAAAAH/dYiM=")</f>
        <v>#REF!</v>
      </c>
      <c r="AK14" t="e">
        <f>AND(#REF!,"AAAAAH/dYiQ=")</f>
        <v>#REF!</v>
      </c>
      <c r="AL14" t="e">
        <f>AND(#REF!,"AAAAAH/dYiU=")</f>
        <v>#REF!</v>
      </c>
      <c r="AM14" t="e">
        <f>AND(#REF!,"AAAAAH/dYiY=")</f>
        <v>#REF!</v>
      </c>
      <c r="AN14" t="e">
        <f>AND(#REF!,"AAAAAH/dYic=")</f>
        <v>#REF!</v>
      </c>
      <c r="AO14" t="e">
        <f>AND(#REF!,"AAAAAH/dYig=")</f>
        <v>#REF!</v>
      </c>
      <c r="AP14" t="e">
        <f>AND(#REF!,"AAAAAH/dYik=")</f>
        <v>#REF!</v>
      </c>
      <c r="AQ14" t="e">
        <f>IF(#REF!,"AAAAAH/dYio=",0)</f>
        <v>#REF!</v>
      </c>
      <c r="AR14" t="e">
        <f>AND(#REF!,"AAAAAH/dYis=")</f>
        <v>#REF!</v>
      </c>
      <c r="AS14" t="e">
        <f>AND(#REF!,"AAAAAH/dYiw=")</f>
        <v>#REF!</v>
      </c>
      <c r="AT14" t="e">
        <f>AND(#REF!,"AAAAAH/dYi0=")</f>
        <v>#REF!</v>
      </c>
      <c r="AU14" t="e">
        <f>AND(#REF!,"AAAAAH/dYi4=")</f>
        <v>#REF!</v>
      </c>
      <c r="AV14" t="e">
        <f>AND(#REF!,"AAAAAH/dYi8=")</f>
        <v>#REF!</v>
      </c>
      <c r="AW14" t="e">
        <f>AND(#REF!,"AAAAAH/dYjA=")</f>
        <v>#REF!</v>
      </c>
      <c r="AX14" t="e">
        <f>AND(#REF!,"AAAAAH/dYjE=")</f>
        <v>#REF!</v>
      </c>
      <c r="AY14" t="e">
        <f>AND(#REF!,"AAAAAH/dYjI=")</f>
        <v>#REF!</v>
      </c>
      <c r="AZ14" t="e">
        <f>AND(#REF!,"AAAAAH/dYjM=")</f>
        <v>#REF!</v>
      </c>
      <c r="BA14" t="e">
        <f>AND(#REF!,"AAAAAH/dYjQ=")</f>
        <v>#REF!</v>
      </c>
      <c r="BB14" t="e">
        <f>AND(#REF!,"AAAAAH/dYjU=")</f>
        <v>#REF!</v>
      </c>
      <c r="BC14" t="e">
        <f>AND(#REF!,"AAAAAH/dYjY=")</f>
        <v>#REF!</v>
      </c>
      <c r="BD14" t="e">
        <f>AND(#REF!,"AAAAAH/dYjc=")</f>
        <v>#REF!</v>
      </c>
      <c r="BE14" t="e">
        <f>AND(#REF!,"AAAAAH/dYjg=")</f>
        <v>#REF!</v>
      </c>
      <c r="BF14" t="e">
        <f>AND(#REF!,"AAAAAH/dYjk=")</f>
        <v>#REF!</v>
      </c>
      <c r="BG14" t="e">
        <f>AND(#REF!,"AAAAAH/dYjo=")</f>
        <v>#REF!</v>
      </c>
      <c r="BH14" t="e">
        <f>AND(#REF!,"AAAAAH/dYjs=")</f>
        <v>#REF!</v>
      </c>
      <c r="BI14" t="e">
        <f>AND(#REF!,"AAAAAH/dYjw=")</f>
        <v>#REF!</v>
      </c>
      <c r="BJ14" t="e">
        <f>AND(#REF!,"AAAAAH/dYj0=")</f>
        <v>#REF!</v>
      </c>
      <c r="BK14" t="e">
        <f>AND(#REF!,"AAAAAH/dYj4=")</f>
        <v>#REF!</v>
      </c>
      <c r="BL14" t="e">
        <f>AND(#REF!,"AAAAAH/dYj8=")</f>
        <v>#REF!</v>
      </c>
      <c r="BM14" t="e">
        <f>AND(#REF!,"AAAAAH/dYkA=")</f>
        <v>#REF!</v>
      </c>
      <c r="BN14" t="e">
        <f>AND(#REF!,"AAAAAH/dYkE=")</f>
        <v>#REF!</v>
      </c>
      <c r="BO14" t="e">
        <f>AND(#REF!,"AAAAAH/dYkI=")</f>
        <v>#REF!</v>
      </c>
      <c r="BP14" t="e">
        <f>AND(#REF!,"AAAAAH/dYkM=")</f>
        <v>#REF!</v>
      </c>
      <c r="BQ14" t="e">
        <f>AND(#REF!,"AAAAAH/dYkQ=")</f>
        <v>#REF!</v>
      </c>
      <c r="BR14" t="e">
        <f>AND(#REF!,"AAAAAH/dYkU=")</f>
        <v>#REF!</v>
      </c>
      <c r="BS14" t="e">
        <f>AND(#REF!,"AAAAAH/dYkY=")</f>
        <v>#REF!</v>
      </c>
      <c r="BT14" t="e">
        <f>IF(#REF!,"AAAAAH/dYkc=",0)</f>
        <v>#REF!</v>
      </c>
      <c r="BU14" t="e">
        <f>AND(#REF!,"AAAAAH/dYkg=")</f>
        <v>#REF!</v>
      </c>
      <c r="BV14" t="e">
        <f>AND(#REF!,"AAAAAH/dYkk=")</f>
        <v>#REF!</v>
      </c>
      <c r="BW14" t="e">
        <f>AND(#REF!,"AAAAAH/dYko=")</f>
        <v>#REF!</v>
      </c>
      <c r="BX14" t="e">
        <f>AND(#REF!,"AAAAAH/dYks=")</f>
        <v>#REF!</v>
      </c>
      <c r="BY14" t="e">
        <f>AND(#REF!,"AAAAAH/dYkw=")</f>
        <v>#REF!</v>
      </c>
      <c r="BZ14" t="e">
        <f>AND(#REF!,"AAAAAH/dYk0=")</f>
        <v>#REF!</v>
      </c>
      <c r="CA14" t="e">
        <f>AND(#REF!,"AAAAAH/dYk4=")</f>
        <v>#REF!</v>
      </c>
      <c r="CB14" t="e">
        <f>AND(#REF!,"AAAAAH/dYk8=")</f>
        <v>#REF!</v>
      </c>
      <c r="CC14" t="e">
        <f>AND(#REF!,"AAAAAH/dYlA=")</f>
        <v>#REF!</v>
      </c>
      <c r="CD14" t="e">
        <f>AND(#REF!,"AAAAAH/dYlE=")</f>
        <v>#REF!</v>
      </c>
      <c r="CE14" t="e">
        <f>AND(#REF!,"AAAAAH/dYlI=")</f>
        <v>#REF!</v>
      </c>
      <c r="CF14" t="e">
        <f>AND(#REF!,"AAAAAH/dYlM=")</f>
        <v>#REF!</v>
      </c>
      <c r="CG14" t="e">
        <f>AND(#REF!,"AAAAAH/dYlQ=")</f>
        <v>#REF!</v>
      </c>
      <c r="CH14" t="e">
        <f>AND(#REF!,"AAAAAH/dYlU=")</f>
        <v>#REF!</v>
      </c>
      <c r="CI14" t="e">
        <f>AND(#REF!,"AAAAAH/dYlY=")</f>
        <v>#REF!</v>
      </c>
      <c r="CJ14" t="e">
        <f>AND(#REF!,"AAAAAH/dYlc=")</f>
        <v>#REF!</v>
      </c>
      <c r="CK14" t="e">
        <f>AND(#REF!,"AAAAAH/dYlg=")</f>
        <v>#REF!</v>
      </c>
      <c r="CL14" t="e">
        <f>AND(#REF!,"AAAAAH/dYlk=")</f>
        <v>#REF!</v>
      </c>
      <c r="CM14" t="e">
        <f>AND(#REF!,"AAAAAH/dYlo=")</f>
        <v>#REF!</v>
      </c>
      <c r="CN14" t="e">
        <f>AND(#REF!,"AAAAAH/dYls=")</f>
        <v>#REF!</v>
      </c>
      <c r="CO14" t="e">
        <f>AND(#REF!,"AAAAAH/dYlw=")</f>
        <v>#REF!</v>
      </c>
      <c r="CP14" t="e">
        <f>AND(#REF!,"AAAAAH/dYl0=")</f>
        <v>#REF!</v>
      </c>
      <c r="CQ14" t="e">
        <f>AND(#REF!,"AAAAAH/dYl4=")</f>
        <v>#REF!</v>
      </c>
      <c r="CR14" t="e">
        <f>AND(#REF!,"AAAAAH/dYl8=")</f>
        <v>#REF!</v>
      </c>
      <c r="CS14" t="e">
        <f>AND(#REF!,"AAAAAH/dYmA=")</f>
        <v>#REF!</v>
      </c>
      <c r="CT14" t="e">
        <f>AND(#REF!,"AAAAAH/dYmE=")</f>
        <v>#REF!</v>
      </c>
      <c r="CU14" t="e">
        <f>AND(#REF!,"AAAAAH/dYmI=")</f>
        <v>#REF!</v>
      </c>
      <c r="CV14" t="e">
        <f>AND(#REF!,"AAAAAH/dYmM=")</f>
        <v>#REF!</v>
      </c>
      <c r="CW14" t="e">
        <f>IF(#REF!,"AAAAAH/dYmQ=",0)</f>
        <v>#REF!</v>
      </c>
      <c r="CX14" t="e">
        <f>AND(#REF!,"AAAAAH/dYmU=")</f>
        <v>#REF!</v>
      </c>
      <c r="CY14" t="e">
        <f>AND(#REF!,"AAAAAH/dYmY=")</f>
        <v>#REF!</v>
      </c>
      <c r="CZ14" t="e">
        <f>AND(#REF!,"AAAAAH/dYmc=")</f>
        <v>#REF!</v>
      </c>
      <c r="DA14" t="e">
        <f>AND(#REF!,"AAAAAH/dYmg=")</f>
        <v>#REF!</v>
      </c>
      <c r="DB14" t="e">
        <f>AND(#REF!,"AAAAAH/dYmk=")</f>
        <v>#REF!</v>
      </c>
      <c r="DC14" t="e">
        <f>AND(#REF!,"AAAAAH/dYmo=")</f>
        <v>#REF!</v>
      </c>
      <c r="DD14" t="e">
        <f>AND(#REF!,"AAAAAH/dYms=")</f>
        <v>#REF!</v>
      </c>
      <c r="DE14" t="e">
        <f>AND(#REF!,"AAAAAH/dYmw=")</f>
        <v>#REF!</v>
      </c>
      <c r="DF14" t="e">
        <f>AND(#REF!,"AAAAAH/dYm0=")</f>
        <v>#REF!</v>
      </c>
      <c r="DG14" t="e">
        <f>AND(#REF!,"AAAAAH/dYm4=")</f>
        <v>#REF!</v>
      </c>
      <c r="DH14" t="e">
        <f>AND(#REF!,"AAAAAH/dYm8=")</f>
        <v>#REF!</v>
      </c>
      <c r="DI14" t="e">
        <f>AND(#REF!,"AAAAAH/dYnA=")</f>
        <v>#REF!</v>
      </c>
      <c r="DJ14" t="e">
        <f>AND(#REF!,"AAAAAH/dYnE=")</f>
        <v>#REF!</v>
      </c>
      <c r="DK14" t="e">
        <f>AND(#REF!,"AAAAAH/dYnI=")</f>
        <v>#REF!</v>
      </c>
      <c r="DL14" t="e">
        <f>AND(#REF!,"AAAAAH/dYnM=")</f>
        <v>#REF!</v>
      </c>
      <c r="DM14" t="e">
        <f>AND(#REF!,"AAAAAH/dYnQ=")</f>
        <v>#REF!</v>
      </c>
      <c r="DN14" t="e">
        <f>AND(#REF!,"AAAAAH/dYnU=")</f>
        <v>#REF!</v>
      </c>
      <c r="DO14" t="e">
        <f>AND(#REF!,"AAAAAH/dYnY=")</f>
        <v>#REF!</v>
      </c>
      <c r="DP14" t="e">
        <f>AND(#REF!,"AAAAAH/dYnc=")</f>
        <v>#REF!</v>
      </c>
      <c r="DQ14" t="e">
        <f>AND(#REF!,"AAAAAH/dYng=")</f>
        <v>#REF!</v>
      </c>
      <c r="DR14" t="e">
        <f>AND(#REF!,"AAAAAH/dYnk=")</f>
        <v>#REF!</v>
      </c>
      <c r="DS14" t="e">
        <f>AND(#REF!,"AAAAAH/dYno=")</f>
        <v>#REF!</v>
      </c>
      <c r="DT14" t="e">
        <f>AND(#REF!,"AAAAAH/dYns=")</f>
        <v>#REF!</v>
      </c>
      <c r="DU14" t="e">
        <f>AND(#REF!,"AAAAAH/dYnw=")</f>
        <v>#REF!</v>
      </c>
      <c r="DV14" t="e">
        <f>AND(#REF!,"AAAAAH/dYn0=")</f>
        <v>#REF!</v>
      </c>
      <c r="DW14" t="e">
        <f>AND(#REF!,"AAAAAH/dYn4=")</f>
        <v>#REF!</v>
      </c>
      <c r="DX14" t="e">
        <f>AND(#REF!,"AAAAAH/dYn8=")</f>
        <v>#REF!</v>
      </c>
      <c r="DY14" t="e">
        <f>AND(#REF!,"AAAAAH/dYoA=")</f>
        <v>#REF!</v>
      </c>
      <c r="DZ14" t="e">
        <f>IF(#REF!,"AAAAAH/dYoE=",0)</f>
        <v>#REF!</v>
      </c>
      <c r="EA14" t="e">
        <f>AND(#REF!,"AAAAAH/dYoI=")</f>
        <v>#REF!</v>
      </c>
      <c r="EB14" t="e">
        <f>AND(#REF!,"AAAAAH/dYoM=")</f>
        <v>#REF!</v>
      </c>
      <c r="EC14" t="e">
        <f>AND(#REF!,"AAAAAH/dYoQ=")</f>
        <v>#REF!</v>
      </c>
      <c r="ED14" t="e">
        <f>AND(#REF!,"AAAAAH/dYoU=")</f>
        <v>#REF!</v>
      </c>
      <c r="EE14" t="e">
        <f>AND(#REF!,"AAAAAH/dYoY=")</f>
        <v>#REF!</v>
      </c>
      <c r="EF14" t="e">
        <f>AND(#REF!,"AAAAAH/dYoc=")</f>
        <v>#REF!</v>
      </c>
      <c r="EG14" t="e">
        <f>AND(#REF!,"AAAAAH/dYog=")</f>
        <v>#REF!</v>
      </c>
      <c r="EH14" t="e">
        <f>AND(#REF!,"AAAAAH/dYok=")</f>
        <v>#REF!</v>
      </c>
      <c r="EI14" t="e">
        <f>AND(#REF!,"AAAAAH/dYoo=")</f>
        <v>#REF!</v>
      </c>
      <c r="EJ14" t="e">
        <f>AND(#REF!,"AAAAAH/dYos=")</f>
        <v>#REF!</v>
      </c>
      <c r="EK14" t="e">
        <f>AND(#REF!,"AAAAAH/dYow=")</f>
        <v>#REF!</v>
      </c>
      <c r="EL14" t="e">
        <f>AND(#REF!,"AAAAAH/dYo0=")</f>
        <v>#REF!</v>
      </c>
      <c r="EM14" t="e">
        <f>AND(#REF!,"AAAAAH/dYo4=")</f>
        <v>#REF!</v>
      </c>
      <c r="EN14" t="e">
        <f>AND(#REF!,"AAAAAH/dYo8=")</f>
        <v>#REF!</v>
      </c>
      <c r="EO14" t="e">
        <f>AND(#REF!,"AAAAAH/dYpA=")</f>
        <v>#REF!</v>
      </c>
      <c r="EP14" t="e">
        <f>AND(#REF!,"AAAAAH/dYpE=")</f>
        <v>#REF!</v>
      </c>
      <c r="EQ14" t="e">
        <f>AND(#REF!,"AAAAAH/dYpI=")</f>
        <v>#REF!</v>
      </c>
      <c r="ER14" t="e">
        <f>AND(#REF!,"AAAAAH/dYpM=")</f>
        <v>#REF!</v>
      </c>
      <c r="ES14" t="e">
        <f>AND(#REF!,"AAAAAH/dYpQ=")</f>
        <v>#REF!</v>
      </c>
      <c r="ET14" t="e">
        <f>AND(#REF!,"AAAAAH/dYpU=")</f>
        <v>#REF!</v>
      </c>
      <c r="EU14" t="e">
        <f>AND(#REF!,"AAAAAH/dYpY=")</f>
        <v>#REF!</v>
      </c>
      <c r="EV14" t="e">
        <f>AND(#REF!,"AAAAAH/dYpc=")</f>
        <v>#REF!</v>
      </c>
      <c r="EW14" t="e">
        <f>AND(#REF!,"AAAAAH/dYpg=")</f>
        <v>#REF!</v>
      </c>
      <c r="EX14" t="e">
        <f>AND(#REF!,"AAAAAH/dYpk=")</f>
        <v>#REF!</v>
      </c>
      <c r="EY14" t="e">
        <f>AND(#REF!,"AAAAAH/dYpo=")</f>
        <v>#REF!</v>
      </c>
      <c r="EZ14" t="e">
        <f>AND(#REF!,"AAAAAH/dYps=")</f>
        <v>#REF!</v>
      </c>
      <c r="FA14" t="e">
        <f>AND(#REF!,"AAAAAH/dYpw=")</f>
        <v>#REF!</v>
      </c>
      <c r="FB14" t="e">
        <f>AND(#REF!,"AAAAAH/dYp0=")</f>
        <v>#REF!</v>
      </c>
      <c r="FC14" t="e">
        <f>IF(#REF!,"AAAAAH/dYp4=",0)</f>
        <v>#REF!</v>
      </c>
      <c r="FD14" t="e">
        <f>AND(#REF!,"AAAAAH/dYp8=")</f>
        <v>#REF!</v>
      </c>
      <c r="FE14" t="e">
        <f>AND(#REF!,"AAAAAH/dYqA=")</f>
        <v>#REF!</v>
      </c>
      <c r="FF14" t="e">
        <f>AND(#REF!,"AAAAAH/dYqE=")</f>
        <v>#REF!</v>
      </c>
      <c r="FG14" t="e">
        <f>AND(#REF!,"AAAAAH/dYqI=")</f>
        <v>#REF!</v>
      </c>
      <c r="FH14" t="e">
        <f>AND(#REF!,"AAAAAH/dYqM=")</f>
        <v>#REF!</v>
      </c>
      <c r="FI14" t="e">
        <f>AND(#REF!,"AAAAAH/dYqQ=")</f>
        <v>#REF!</v>
      </c>
      <c r="FJ14" t="e">
        <f>AND(#REF!,"AAAAAH/dYqU=")</f>
        <v>#REF!</v>
      </c>
      <c r="FK14" t="e">
        <f>AND(#REF!,"AAAAAH/dYqY=")</f>
        <v>#REF!</v>
      </c>
      <c r="FL14" t="e">
        <f>AND(#REF!,"AAAAAH/dYqc=")</f>
        <v>#REF!</v>
      </c>
      <c r="FM14" t="e">
        <f>AND(#REF!,"AAAAAH/dYqg=")</f>
        <v>#REF!</v>
      </c>
      <c r="FN14" t="e">
        <f>AND(#REF!,"AAAAAH/dYqk=")</f>
        <v>#REF!</v>
      </c>
      <c r="FO14" t="e">
        <f>AND(#REF!,"AAAAAH/dYqo=")</f>
        <v>#REF!</v>
      </c>
      <c r="FP14" t="e">
        <f>AND(#REF!,"AAAAAH/dYqs=")</f>
        <v>#REF!</v>
      </c>
      <c r="FQ14" t="e">
        <f>AND(#REF!,"AAAAAH/dYqw=")</f>
        <v>#REF!</v>
      </c>
      <c r="FR14" t="e">
        <f>AND(#REF!,"AAAAAH/dYq0=")</f>
        <v>#REF!</v>
      </c>
      <c r="FS14" t="e">
        <f>AND(#REF!,"AAAAAH/dYq4=")</f>
        <v>#REF!</v>
      </c>
      <c r="FT14" t="e">
        <f>AND(#REF!,"AAAAAH/dYq8=")</f>
        <v>#REF!</v>
      </c>
      <c r="FU14" t="e">
        <f>AND(#REF!,"AAAAAH/dYrA=")</f>
        <v>#REF!</v>
      </c>
      <c r="FV14" t="e">
        <f>AND(#REF!,"AAAAAH/dYrE=")</f>
        <v>#REF!</v>
      </c>
      <c r="FW14" t="e">
        <f>AND(#REF!,"AAAAAH/dYrI=")</f>
        <v>#REF!</v>
      </c>
      <c r="FX14" t="e">
        <f>AND(#REF!,"AAAAAH/dYrM=")</f>
        <v>#REF!</v>
      </c>
      <c r="FY14" t="e">
        <f>AND(#REF!,"AAAAAH/dYrQ=")</f>
        <v>#REF!</v>
      </c>
      <c r="FZ14" t="e">
        <f>AND(#REF!,"AAAAAH/dYrU=")</f>
        <v>#REF!</v>
      </c>
      <c r="GA14" t="e">
        <f>AND(#REF!,"AAAAAH/dYrY=")</f>
        <v>#REF!</v>
      </c>
      <c r="GB14" t="e">
        <f>AND(#REF!,"AAAAAH/dYrc=")</f>
        <v>#REF!</v>
      </c>
      <c r="GC14" t="e">
        <f>AND(#REF!,"AAAAAH/dYrg=")</f>
        <v>#REF!</v>
      </c>
      <c r="GD14" t="e">
        <f>AND(#REF!,"AAAAAH/dYrk=")</f>
        <v>#REF!</v>
      </c>
      <c r="GE14" t="e">
        <f>AND(#REF!,"AAAAAH/dYro=")</f>
        <v>#REF!</v>
      </c>
      <c r="GF14" t="e">
        <f>IF(#REF!,"AAAAAH/dYrs=",0)</f>
        <v>#REF!</v>
      </c>
      <c r="GG14" t="e">
        <f>AND(#REF!,"AAAAAH/dYrw=")</f>
        <v>#REF!</v>
      </c>
      <c r="GH14" t="e">
        <f>AND(#REF!,"AAAAAH/dYr0=")</f>
        <v>#REF!</v>
      </c>
      <c r="GI14" t="e">
        <f>AND(#REF!,"AAAAAH/dYr4=")</f>
        <v>#REF!</v>
      </c>
      <c r="GJ14" t="e">
        <f>AND(#REF!,"AAAAAH/dYr8=")</f>
        <v>#REF!</v>
      </c>
      <c r="GK14" t="e">
        <f>AND(#REF!,"AAAAAH/dYsA=")</f>
        <v>#REF!</v>
      </c>
      <c r="GL14" t="e">
        <f>AND(#REF!,"AAAAAH/dYsE=")</f>
        <v>#REF!</v>
      </c>
      <c r="GM14" t="e">
        <f>AND(#REF!,"AAAAAH/dYsI=")</f>
        <v>#REF!</v>
      </c>
      <c r="GN14" t="e">
        <f>AND(#REF!,"AAAAAH/dYsM=")</f>
        <v>#REF!</v>
      </c>
      <c r="GO14" t="e">
        <f>AND(#REF!,"AAAAAH/dYsQ=")</f>
        <v>#REF!</v>
      </c>
      <c r="GP14" t="e">
        <f>AND(#REF!,"AAAAAH/dYsU=")</f>
        <v>#REF!</v>
      </c>
      <c r="GQ14" t="e">
        <f>AND(#REF!,"AAAAAH/dYsY=")</f>
        <v>#REF!</v>
      </c>
      <c r="GR14" t="e">
        <f>AND(#REF!,"AAAAAH/dYsc=")</f>
        <v>#REF!</v>
      </c>
      <c r="GS14" t="e">
        <f>AND(#REF!,"AAAAAH/dYsg=")</f>
        <v>#REF!</v>
      </c>
      <c r="GT14" t="e">
        <f>AND(#REF!,"AAAAAH/dYsk=")</f>
        <v>#REF!</v>
      </c>
      <c r="GU14" t="e">
        <f>AND(#REF!,"AAAAAH/dYso=")</f>
        <v>#REF!</v>
      </c>
      <c r="GV14" t="e">
        <f>AND(#REF!,"AAAAAH/dYss=")</f>
        <v>#REF!</v>
      </c>
      <c r="GW14" t="e">
        <f>AND(#REF!,"AAAAAH/dYsw=")</f>
        <v>#REF!</v>
      </c>
      <c r="GX14" t="e">
        <f>AND(#REF!,"AAAAAH/dYs0=")</f>
        <v>#REF!</v>
      </c>
      <c r="GY14" t="e">
        <f>AND(#REF!,"AAAAAH/dYs4=")</f>
        <v>#REF!</v>
      </c>
      <c r="GZ14" t="e">
        <f>AND(#REF!,"AAAAAH/dYs8=")</f>
        <v>#REF!</v>
      </c>
      <c r="HA14" t="e">
        <f>AND(#REF!,"AAAAAH/dYtA=")</f>
        <v>#REF!</v>
      </c>
      <c r="HB14" t="e">
        <f>AND(#REF!,"AAAAAH/dYtE=")</f>
        <v>#REF!</v>
      </c>
      <c r="HC14" t="e">
        <f>AND(#REF!,"AAAAAH/dYtI=")</f>
        <v>#REF!</v>
      </c>
      <c r="HD14" t="e">
        <f>AND(#REF!,"AAAAAH/dYtM=")</f>
        <v>#REF!</v>
      </c>
      <c r="HE14" t="e">
        <f>AND(#REF!,"AAAAAH/dYtQ=")</f>
        <v>#REF!</v>
      </c>
      <c r="HF14" t="e">
        <f>AND(#REF!,"AAAAAH/dYtU=")</f>
        <v>#REF!</v>
      </c>
      <c r="HG14" t="e">
        <f>AND(#REF!,"AAAAAH/dYtY=")</f>
        <v>#REF!</v>
      </c>
      <c r="HH14" t="e">
        <f>AND(#REF!,"AAAAAH/dYtc=")</f>
        <v>#REF!</v>
      </c>
      <c r="HI14" t="e">
        <f>IF(#REF!,"AAAAAH/dYtg=",0)</f>
        <v>#REF!</v>
      </c>
      <c r="HJ14" t="e">
        <f>AND(#REF!,"AAAAAH/dYtk=")</f>
        <v>#REF!</v>
      </c>
      <c r="HK14" t="e">
        <f>AND(#REF!,"AAAAAH/dYto=")</f>
        <v>#REF!</v>
      </c>
      <c r="HL14" t="e">
        <f>AND(#REF!,"AAAAAH/dYts=")</f>
        <v>#REF!</v>
      </c>
      <c r="HM14" t="e">
        <f>AND(#REF!,"AAAAAH/dYtw=")</f>
        <v>#REF!</v>
      </c>
      <c r="HN14" t="e">
        <f>AND(#REF!,"AAAAAH/dYt0=")</f>
        <v>#REF!</v>
      </c>
      <c r="HO14" t="e">
        <f>AND(#REF!,"AAAAAH/dYt4=")</f>
        <v>#REF!</v>
      </c>
      <c r="HP14" t="e">
        <f>AND(#REF!,"AAAAAH/dYt8=")</f>
        <v>#REF!</v>
      </c>
      <c r="HQ14" t="e">
        <f>AND(#REF!,"AAAAAH/dYuA=")</f>
        <v>#REF!</v>
      </c>
      <c r="HR14" t="e">
        <f>AND(#REF!,"AAAAAH/dYuE=")</f>
        <v>#REF!</v>
      </c>
      <c r="HS14" t="e">
        <f>AND(#REF!,"AAAAAH/dYuI=")</f>
        <v>#REF!</v>
      </c>
      <c r="HT14" t="e">
        <f>AND(#REF!,"AAAAAH/dYuM=")</f>
        <v>#REF!</v>
      </c>
      <c r="HU14" t="e">
        <f>AND(#REF!,"AAAAAH/dYuQ=")</f>
        <v>#REF!</v>
      </c>
      <c r="HV14" t="e">
        <f>AND(#REF!,"AAAAAH/dYuU=")</f>
        <v>#REF!</v>
      </c>
      <c r="HW14" t="e">
        <f>AND(#REF!,"AAAAAH/dYuY=")</f>
        <v>#REF!</v>
      </c>
      <c r="HX14" t="e">
        <f>AND(#REF!,"AAAAAH/dYuc=")</f>
        <v>#REF!</v>
      </c>
      <c r="HY14" t="e">
        <f>AND(#REF!,"AAAAAH/dYug=")</f>
        <v>#REF!</v>
      </c>
      <c r="HZ14" t="e">
        <f>AND(#REF!,"AAAAAH/dYuk=")</f>
        <v>#REF!</v>
      </c>
      <c r="IA14" t="e">
        <f>AND(#REF!,"AAAAAH/dYuo=")</f>
        <v>#REF!</v>
      </c>
      <c r="IB14" t="e">
        <f>AND(#REF!,"AAAAAH/dYus=")</f>
        <v>#REF!</v>
      </c>
      <c r="IC14" t="e">
        <f>AND(#REF!,"AAAAAH/dYuw=")</f>
        <v>#REF!</v>
      </c>
      <c r="ID14" t="e">
        <f>AND(#REF!,"AAAAAH/dYu0=")</f>
        <v>#REF!</v>
      </c>
      <c r="IE14" t="e">
        <f>AND(#REF!,"AAAAAH/dYu4=")</f>
        <v>#REF!</v>
      </c>
      <c r="IF14" t="e">
        <f>AND(#REF!,"AAAAAH/dYu8=")</f>
        <v>#REF!</v>
      </c>
      <c r="IG14" t="e">
        <f>AND(#REF!,"AAAAAH/dYvA=")</f>
        <v>#REF!</v>
      </c>
      <c r="IH14" t="e">
        <f>AND(#REF!,"AAAAAH/dYvE=")</f>
        <v>#REF!</v>
      </c>
      <c r="II14" t="e">
        <f>AND(#REF!,"AAAAAH/dYvI=")</f>
        <v>#REF!</v>
      </c>
      <c r="IJ14" t="e">
        <f>AND(#REF!,"AAAAAH/dYvM=")</f>
        <v>#REF!</v>
      </c>
      <c r="IK14" t="e">
        <f>AND(#REF!,"AAAAAH/dYvQ=")</f>
        <v>#REF!</v>
      </c>
      <c r="IL14" t="e">
        <f>IF(#REF!,"AAAAAH/dYvU=",0)</f>
        <v>#REF!</v>
      </c>
      <c r="IM14" t="e">
        <f>AND(#REF!,"AAAAAH/dYvY=")</f>
        <v>#REF!</v>
      </c>
      <c r="IN14" t="e">
        <f>AND(#REF!,"AAAAAH/dYvc=")</f>
        <v>#REF!</v>
      </c>
      <c r="IO14" t="e">
        <f>AND(#REF!,"AAAAAH/dYvg=")</f>
        <v>#REF!</v>
      </c>
      <c r="IP14" t="e">
        <f>AND(#REF!,"AAAAAH/dYvk=")</f>
        <v>#REF!</v>
      </c>
      <c r="IQ14" t="e">
        <f>AND(#REF!,"AAAAAH/dYvo=")</f>
        <v>#REF!</v>
      </c>
      <c r="IR14" t="e">
        <f>AND(#REF!,"AAAAAH/dYvs=")</f>
        <v>#REF!</v>
      </c>
      <c r="IS14" t="e">
        <f>AND(#REF!,"AAAAAH/dYvw=")</f>
        <v>#REF!</v>
      </c>
      <c r="IT14" t="e">
        <f>AND(#REF!,"AAAAAH/dYv0=")</f>
        <v>#REF!</v>
      </c>
      <c r="IU14" t="e">
        <f>AND(#REF!,"AAAAAH/dYv4=")</f>
        <v>#REF!</v>
      </c>
      <c r="IV14" t="e">
        <f>AND(#REF!,"AAAAAH/dYv8=")</f>
        <v>#REF!</v>
      </c>
    </row>
    <row r="15" spans="1:256" x14ac:dyDescent="0.2">
      <c r="A15" t="e">
        <f>AND(#REF!,"AAAAAH/99gA=")</f>
        <v>#REF!</v>
      </c>
      <c r="B15" t="e">
        <f>AND(#REF!,"AAAAAH/99gE=")</f>
        <v>#REF!</v>
      </c>
      <c r="C15" t="e">
        <f>AND(#REF!,"AAAAAH/99gI=")</f>
        <v>#REF!</v>
      </c>
      <c r="D15" t="e">
        <f>AND(#REF!,"AAAAAH/99gM=")</f>
        <v>#REF!</v>
      </c>
      <c r="E15" t="e">
        <f>AND(#REF!,"AAAAAH/99gQ=")</f>
        <v>#REF!</v>
      </c>
      <c r="F15" t="e">
        <f>AND(#REF!,"AAAAAH/99gU=")</f>
        <v>#REF!</v>
      </c>
      <c r="G15" t="e">
        <f>AND(#REF!,"AAAAAH/99gY=")</f>
        <v>#REF!</v>
      </c>
      <c r="H15" t="e">
        <f>AND(#REF!,"AAAAAH/99gc=")</f>
        <v>#REF!</v>
      </c>
      <c r="I15" t="e">
        <f>AND(#REF!,"AAAAAH/99gg=")</f>
        <v>#REF!</v>
      </c>
      <c r="J15" t="e">
        <f>AND(#REF!,"AAAAAH/99gk=")</f>
        <v>#REF!</v>
      </c>
      <c r="K15" t="e">
        <f>AND(#REF!,"AAAAAH/99go=")</f>
        <v>#REF!</v>
      </c>
      <c r="L15" t="e">
        <f>AND(#REF!,"AAAAAH/99gs=")</f>
        <v>#REF!</v>
      </c>
      <c r="M15" t="e">
        <f>AND(#REF!,"AAAAAH/99gw=")</f>
        <v>#REF!</v>
      </c>
      <c r="N15" t="e">
        <f>AND(#REF!,"AAAAAH/99g0=")</f>
        <v>#REF!</v>
      </c>
      <c r="O15" t="e">
        <f>AND(#REF!,"AAAAAH/99g4=")</f>
        <v>#REF!</v>
      </c>
      <c r="P15" t="e">
        <f>AND(#REF!,"AAAAAH/99g8=")</f>
        <v>#REF!</v>
      </c>
      <c r="Q15" t="e">
        <f>AND(#REF!,"AAAAAH/99hA=")</f>
        <v>#REF!</v>
      </c>
      <c r="R15" t="e">
        <f>AND(#REF!,"AAAAAH/99hE=")</f>
        <v>#REF!</v>
      </c>
      <c r="S15" t="e">
        <f>IF(#REF!,"AAAAAH/99hI=",0)</f>
        <v>#REF!</v>
      </c>
      <c r="T15" t="e">
        <f>AND(#REF!,"AAAAAH/99hM=")</f>
        <v>#REF!</v>
      </c>
      <c r="U15" t="e">
        <f>AND(#REF!,"AAAAAH/99hQ=")</f>
        <v>#REF!</v>
      </c>
      <c r="V15" t="e">
        <f>AND(#REF!,"AAAAAH/99hU=")</f>
        <v>#REF!</v>
      </c>
      <c r="W15" t="e">
        <f>AND(#REF!,"AAAAAH/99hY=")</f>
        <v>#REF!</v>
      </c>
      <c r="X15" t="e">
        <f>AND(#REF!,"AAAAAH/99hc=")</f>
        <v>#REF!</v>
      </c>
      <c r="Y15" t="e">
        <f>AND(#REF!,"AAAAAH/99hg=")</f>
        <v>#REF!</v>
      </c>
      <c r="Z15" t="e">
        <f>AND(#REF!,"AAAAAH/99hk=")</f>
        <v>#REF!</v>
      </c>
      <c r="AA15" t="e">
        <f>AND(#REF!,"AAAAAH/99ho=")</f>
        <v>#REF!</v>
      </c>
      <c r="AB15" t="e">
        <f>AND(#REF!,"AAAAAH/99hs=")</f>
        <v>#REF!</v>
      </c>
      <c r="AC15" t="e">
        <f>AND(#REF!,"AAAAAH/99hw=")</f>
        <v>#REF!</v>
      </c>
      <c r="AD15" t="e">
        <f>AND(#REF!,"AAAAAH/99h0=")</f>
        <v>#REF!</v>
      </c>
      <c r="AE15" t="e">
        <f>AND(#REF!,"AAAAAH/99h4=")</f>
        <v>#REF!</v>
      </c>
      <c r="AF15" t="e">
        <f>AND(#REF!,"AAAAAH/99h8=")</f>
        <v>#REF!</v>
      </c>
      <c r="AG15" t="e">
        <f>AND(#REF!,"AAAAAH/99iA=")</f>
        <v>#REF!</v>
      </c>
      <c r="AH15" t="e">
        <f>AND(#REF!,"AAAAAH/99iE=")</f>
        <v>#REF!</v>
      </c>
      <c r="AI15" t="e">
        <f>AND(#REF!,"AAAAAH/99iI=")</f>
        <v>#REF!</v>
      </c>
      <c r="AJ15" t="e">
        <f>AND(#REF!,"AAAAAH/99iM=")</f>
        <v>#REF!</v>
      </c>
      <c r="AK15" t="e">
        <f>AND(#REF!,"AAAAAH/99iQ=")</f>
        <v>#REF!</v>
      </c>
      <c r="AL15" t="e">
        <f>AND(#REF!,"AAAAAH/99iU=")</f>
        <v>#REF!</v>
      </c>
      <c r="AM15" t="e">
        <f>AND(#REF!,"AAAAAH/99iY=")</f>
        <v>#REF!</v>
      </c>
      <c r="AN15" t="e">
        <f>AND(#REF!,"AAAAAH/99ic=")</f>
        <v>#REF!</v>
      </c>
      <c r="AO15" t="e">
        <f>AND(#REF!,"AAAAAH/99ig=")</f>
        <v>#REF!</v>
      </c>
      <c r="AP15" t="e">
        <f>AND(#REF!,"AAAAAH/99ik=")</f>
        <v>#REF!</v>
      </c>
      <c r="AQ15" t="e">
        <f>AND(#REF!,"AAAAAH/99io=")</f>
        <v>#REF!</v>
      </c>
      <c r="AR15" t="e">
        <f>AND(#REF!,"AAAAAH/99is=")</f>
        <v>#REF!</v>
      </c>
      <c r="AS15" t="e">
        <f>AND(#REF!,"AAAAAH/99iw=")</f>
        <v>#REF!</v>
      </c>
      <c r="AT15" t="e">
        <f>AND(#REF!,"AAAAAH/99i0=")</f>
        <v>#REF!</v>
      </c>
      <c r="AU15" t="e">
        <f>AND(#REF!,"AAAAAH/99i4=")</f>
        <v>#REF!</v>
      </c>
      <c r="AV15" t="e">
        <f>IF(#REF!,"AAAAAH/99i8=",0)</f>
        <v>#REF!</v>
      </c>
      <c r="AW15" t="e">
        <f>AND(#REF!,"AAAAAH/99jA=")</f>
        <v>#REF!</v>
      </c>
      <c r="AX15" t="e">
        <f>AND(#REF!,"AAAAAH/99jE=")</f>
        <v>#REF!</v>
      </c>
      <c r="AY15" t="e">
        <f>AND(#REF!,"AAAAAH/99jI=")</f>
        <v>#REF!</v>
      </c>
      <c r="AZ15" t="e">
        <f>AND(#REF!,"AAAAAH/99jM=")</f>
        <v>#REF!</v>
      </c>
      <c r="BA15" t="e">
        <f>AND(#REF!,"AAAAAH/99jQ=")</f>
        <v>#REF!</v>
      </c>
      <c r="BB15" t="e">
        <f>AND(#REF!,"AAAAAH/99jU=")</f>
        <v>#REF!</v>
      </c>
      <c r="BC15" t="e">
        <f>AND(#REF!,"AAAAAH/99jY=")</f>
        <v>#REF!</v>
      </c>
      <c r="BD15" t="e">
        <f>AND(#REF!,"AAAAAH/99jc=")</f>
        <v>#REF!</v>
      </c>
      <c r="BE15" t="e">
        <f>AND(#REF!,"AAAAAH/99jg=")</f>
        <v>#REF!</v>
      </c>
      <c r="BF15" t="e">
        <f>AND(#REF!,"AAAAAH/99jk=")</f>
        <v>#REF!</v>
      </c>
      <c r="BG15" t="e">
        <f>AND(#REF!,"AAAAAH/99jo=")</f>
        <v>#REF!</v>
      </c>
      <c r="BH15" t="e">
        <f>AND(#REF!,"AAAAAH/99js=")</f>
        <v>#REF!</v>
      </c>
      <c r="BI15" t="e">
        <f>AND(#REF!,"AAAAAH/99jw=")</f>
        <v>#REF!</v>
      </c>
      <c r="BJ15" t="e">
        <f>AND(#REF!,"AAAAAH/99j0=")</f>
        <v>#REF!</v>
      </c>
      <c r="BK15" t="e">
        <f>AND(#REF!,"AAAAAH/99j4=")</f>
        <v>#REF!</v>
      </c>
      <c r="BL15" t="e">
        <f>AND(#REF!,"AAAAAH/99j8=")</f>
        <v>#REF!</v>
      </c>
      <c r="BM15" t="e">
        <f>AND(#REF!,"AAAAAH/99kA=")</f>
        <v>#REF!</v>
      </c>
      <c r="BN15" t="e">
        <f>AND(#REF!,"AAAAAH/99kE=")</f>
        <v>#REF!</v>
      </c>
      <c r="BO15" t="e">
        <f>AND(#REF!,"AAAAAH/99kI=")</f>
        <v>#REF!</v>
      </c>
      <c r="BP15" t="e">
        <f>AND(#REF!,"AAAAAH/99kM=")</f>
        <v>#REF!</v>
      </c>
      <c r="BQ15" t="e">
        <f>AND(#REF!,"AAAAAH/99kQ=")</f>
        <v>#REF!</v>
      </c>
      <c r="BR15" t="e">
        <f>AND(#REF!,"AAAAAH/99kU=")</f>
        <v>#REF!</v>
      </c>
      <c r="BS15" t="e">
        <f>AND(#REF!,"AAAAAH/99kY=")</f>
        <v>#REF!</v>
      </c>
      <c r="BT15" t="e">
        <f>AND(#REF!,"AAAAAH/99kc=")</f>
        <v>#REF!</v>
      </c>
      <c r="BU15" t="e">
        <f>AND(#REF!,"AAAAAH/99kg=")</f>
        <v>#REF!</v>
      </c>
      <c r="BV15" t="e">
        <f>AND(#REF!,"AAAAAH/99kk=")</f>
        <v>#REF!</v>
      </c>
      <c r="BW15" t="e">
        <f>AND(#REF!,"AAAAAH/99ko=")</f>
        <v>#REF!</v>
      </c>
      <c r="BX15" t="e">
        <f>AND(#REF!,"AAAAAH/99ks=")</f>
        <v>#REF!</v>
      </c>
      <c r="BY15" t="e">
        <f>IF(#REF!,"AAAAAH/99kw=",0)</f>
        <v>#REF!</v>
      </c>
      <c r="BZ15" t="e">
        <f>AND(#REF!,"AAAAAH/99k0=")</f>
        <v>#REF!</v>
      </c>
      <c r="CA15" t="e">
        <f>AND(#REF!,"AAAAAH/99k4=")</f>
        <v>#REF!</v>
      </c>
      <c r="CB15" t="e">
        <f>AND(#REF!,"AAAAAH/99k8=")</f>
        <v>#REF!</v>
      </c>
      <c r="CC15" t="e">
        <f>AND(#REF!,"AAAAAH/99lA=")</f>
        <v>#REF!</v>
      </c>
      <c r="CD15" t="e">
        <f>AND(#REF!,"AAAAAH/99lE=")</f>
        <v>#REF!</v>
      </c>
      <c r="CE15" t="e">
        <f>AND(#REF!,"AAAAAH/99lI=")</f>
        <v>#REF!</v>
      </c>
      <c r="CF15" t="e">
        <f>AND(#REF!,"AAAAAH/99lM=")</f>
        <v>#REF!</v>
      </c>
      <c r="CG15" t="e">
        <f>AND(#REF!,"AAAAAH/99lQ=")</f>
        <v>#REF!</v>
      </c>
      <c r="CH15" t="e">
        <f>AND(#REF!,"AAAAAH/99lU=")</f>
        <v>#REF!</v>
      </c>
      <c r="CI15" t="e">
        <f>AND(#REF!,"AAAAAH/99lY=")</f>
        <v>#REF!</v>
      </c>
      <c r="CJ15" t="e">
        <f>AND(#REF!,"AAAAAH/99lc=")</f>
        <v>#REF!</v>
      </c>
      <c r="CK15" t="e">
        <f>AND(#REF!,"AAAAAH/99lg=")</f>
        <v>#REF!</v>
      </c>
      <c r="CL15" t="e">
        <f>AND(#REF!,"AAAAAH/99lk=")</f>
        <v>#REF!</v>
      </c>
      <c r="CM15" t="e">
        <f>AND(#REF!,"AAAAAH/99lo=")</f>
        <v>#REF!</v>
      </c>
      <c r="CN15" t="e">
        <f>AND(#REF!,"AAAAAH/99ls=")</f>
        <v>#REF!</v>
      </c>
      <c r="CO15" t="e">
        <f>AND(#REF!,"AAAAAH/99lw=")</f>
        <v>#REF!</v>
      </c>
      <c r="CP15" t="e">
        <f>AND(#REF!,"AAAAAH/99l0=")</f>
        <v>#REF!</v>
      </c>
      <c r="CQ15" t="e">
        <f>AND(#REF!,"AAAAAH/99l4=")</f>
        <v>#REF!</v>
      </c>
      <c r="CR15" t="e">
        <f>AND(#REF!,"AAAAAH/99l8=")</f>
        <v>#REF!</v>
      </c>
      <c r="CS15" t="e">
        <f>AND(#REF!,"AAAAAH/99mA=")</f>
        <v>#REF!</v>
      </c>
      <c r="CT15" t="e">
        <f>AND(#REF!,"AAAAAH/99mE=")</f>
        <v>#REF!</v>
      </c>
      <c r="CU15" t="e">
        <f>AND(#REF!,"AAAAAH/99mI=")</f>
        <v>#REF!</v>
      </c>
      <c r="CV15" t="e">
        <f>AND(#REF!,"AAAAAH/99mM=")</f>
        <v>#REF!</v>
      </c>
      <c r="CW15" t="e">
        <f>AND(#REF!,"AAAAAH/99mQ=")</f>
        <v>#REF!</v>
      </c>
      <c r="CX15" t="e">
        <f>AND(#REF!,"AAAAAH/99mU=")</f>
        <v>#REF!</v>
      </c>
      <c r="CY15" t="e">
        <f>AND(#REF!,"AAAAAH/99mY=")</f>
        <v>#REF!</v>
      </c>
      <c r="CZ15" t="e">
        <f>AND(#REF!,"AAAAAH/99mc=")</f>
        <v>#REF!</v>
      </c>
      <c r="DA15" t="e">
        <f>AND(#REF!,"AAAAAH/99mg=")</f>
        <v>#REF!</v>
      </c>
      <c r="DB15" t="e">
        <f>IF(#REF!,"AAAAAH/99mk=",0)</f>
        <v>#REF!</v>
      </c>
      <c r="DC15" t="e">
        <f>AND(#REF!,"AAAAAH/99mo=")</f>
        <v>#REF!</v>
      </c>
      <c r="DD15" t="e">
        <f>AND(#REF!,"AAAAAH/99ms=")</f>
        <v>#REF!</v>
      </c>
      <c r="DE15" t="e">
        <f>AND(#REF!,"AAAAAH/99mw=")</f>
        <v>#REF!</v>
      </c>
      <c r="DF15" t="e">
        <f>AND(#REF!,"AAAAAH/99m0=")</f>
        <v>#REF!</v>
      </c>
      <c r="DG15" t="e">
        <f>AND(#REF!,"AAAAAH/99m4=")</f>
        <v>#REF!</v>
      </c>
      <c r="DH15" t="e">
        <f>AND(#REF!,"AAAAAH/99m8=")</f>
        <v>#REF!</v>
      </c>
      <c r="DI15" t="e">
        <f>AND(#REF!,"AAAAAH/99nA=")</f>
        <v>#REF!</v>
      </c>
      <c r="DJ15" t="e">
        <f>AND(#REF!,"AAAAAH/99nE=")</f>
        <v>#REF!</v>
      </c>
      <c r="DK15" t="e">
        <f>AND(#REF!,"AAAAAH/99nI=")</f>
        <v>#REF!</v>
      </c>
      <c r="DL15" t="e">
        <f>AND(#REF!,"AAAAAH/99nM=")</f>
        <v>#REF!</v>
      </c>
      <c r="DM15" t="e">
        <f>AND(#REF!,"AAAAAH/99nQ=")</f>
        <v>#REF!</v>
      </c>
      <c r="DN15" t="e">
        <f>AND(#REF!,"AAAAAH/99nU=")</f>
        <v>#REF!</v>
      </c>
      <c r="DO15" t="e">
        <f>AND(#REF!,"AAAAAH/99nY=")</f>
        <v>#REF!</v>
      </c>
      <c r="DP15" t="e">
        <f>AND(#REF!,"AAAAAH/99nc=")</f>
        <v>#REF!</v>
      </c>
      <c r="DQ15" t="e">
        <f>AND(#REF!,"AAAAAH/99ng=")</f>
        <v>#REF!</v>
      </c>
      <c r="DR15" t="e">
        <f>AND(#REF!,"AAAAAH/99nk=")</f>
        <v>#REF!</v>
      </c>
      <c r="DS15" t="e">
        <f>AND(#REF!,"AAAAAH/99no=")</f>
        <v>#REF!</v>
      </c>
      <c r="DT15" t="e">
        <f>AND(#REF!,"AAAAAH/99ns=")</f>
        <v>#REF!</v>
      </c>
      <c r="DU15" t="e">
        <f>AND(#REF!,"AAAAAH/99nw=")</f>
        <v>#REF!</v>
      </c>
      <c r="DV15" t="e">
        <f>AND(#REF!,"AAAAAH/99n0=")</f>
        <v>#REF!</v>
      </c>
      <c r="DW15" t="e">
        <f>AND(#REF!,"AAAAAH/99n4=")</f>
        <v>#REF!</v>
      </c>
      <c r="DX15" t="e">
        <f>AND(#REF!,"AAAAAH/99n8=")</f>
        <v>#REF!</v>
      </c>
      <c r="DY15" t="e">
        <f>AND(#REF!,"AAAAAH/99oA=")</f>
        <v>#REF!</v>
      </c>
      <c r="DZ15" t="e">
        <f>AND(#REF!,"AAAAAH/99oE=")</f>
        <v>#REF!</v>
      </c>
      <c r="EA15" t="e">
        <f>AND(#REF!,"AAAAAH/99oI=")</f>
        <v>#REF!</v>
      </c>
      <c r="EB15" t="e">
        <f>AND(#REF!,"AAAAAH/99oM=")</f>
        <v>#REF!</v>
      </c>
      <c r="EC15" t="e">
        <f>AND(#REF!,"AAAAAH/99oQ=")</f>
        <v>#REF!</v>
      </c>
      <c r="ED15" t="e">
        <f>AND(#REF!,"AAAAAH/99oU=")</f>
        <v>#REF!</v>
      </c>
      <c r="EE15" t="e">
        <f>IF(#REF!,"AAAAAH/99oY=",0)</f>
        <v>#REF!</v>
      </c>
      <c r="EF15" t="e">
        <f>AND(#REF!,"AAAAAH/99oc=")</f>
        <v>#REF!</v>
      </c>
      <c r="EG15" t="e">
        <f>AND(#REF!,"AAAAAH/99og=")</f>
        <v>#REF!</v>
      </c>
      <c r="EH15" t="e">
        <f>AND(#REF!,"AAAAAH/99ok=")</f>
        <v>#REF!</v>
      </c>
      <c r="EI15" t="e">
        <f>AND(#REF!,"AAAAAH/99oo=")</f>
        <v>#REF!</v>
      </c>
      <c r="EJ15" t="e">
        <f>AND(#REF!,"AAAAAH/99os=")</f>
        <v>#REF!</v>
      </c>
      <c r="EK15" t="e">
        <f>AND(#REF!,"AAAAAH/99ow=")</f>
        <v>#REF!</v>
      </c>
      <c r="EL15" t="e">
        <f>AND(#REF!,"AAAAAH/99o0=")</f>
        <v>#REF!</v>
      </c>
      <c r="EM15" t="e">
        <f>AND(#REF!,"AAAAAH/99o4=")</f>
        <v>#REF!</v>
      </c>
      <c r="EN15" t="e">
        <f>AND(#REF!,"AAAAAH/99o8=")</f>
        <v>#REF!</v>
      </c>
      <c r="EO15" t="e">
        <f>AND(#REF!,"AAAAAH/99pA=")</f>
        <v>#REF!</v>
      </c>
      <c r="EP15" t="e">
        <f>AND(#REF!,"AAAAAH/99pE=")</f>
        <v>#REF!</v>
      </c>
      <c r="EQ15" t="e">
        <f>AND(#REF!,"AAAAAH/99pI=")</f>
        <v>#REF!</v>
      </c>
      <c r="ER15" t="e">
        <f>AND(#REF!,"AAAAAH/99pM=")</f>
        <v>#REF!</v>
      </c>
      <c r="ES15" t="e">
        <f>AND(#REF!,"AAAAAH/99pQ=")</f>
        <v>#REF!</v>
      </c>
      <c r="ET15" t="e">
        <f>AND(#REF!,"AAAAAH/99pU=")</f>
        <v>#REF!</v>
      </c>
      <c r="EU15" t="e">
        <f>AND(#REF!,"AAAAAH/99pY=")</f>
        <v>#REF!</v>
      </c>
      <c r="EV15" t="e">
        <f>AND(#REF!,"AAAAAH/99pc=")</f>
        <v>#REF!</v>
      </c>
      <c r="EW15" t="e">
        <f>AND(#REF!,"AAAAAH/99pg=")</f>
        <v>#REF!</v>
      </c>
      <c r="EX15" t="e">
        <f>AND(#REF!,"AAAAAH/99pk=")</f>
        <v>#REF!</v>
      </c>
      <c r="EY15" t="e">
        <f>AND(#REF!,"AAAAAH/99po=")</f>
        <v>#REF!</v>
      </c>
      <c r="EZ15" t="e">
        <f>AND(#REF!,"AAAAAH/99ps=")</f>
        <v>#REF!</v>
      </c>
      <c r="FA15" t="e">
        <f>AND(#REF!,"AAAAAH/99pw=")</f>
        <v>#REF!</v>
      </c>
      <c r="FB15" t="e">
        <f>AND(#REF!,"AAAAAH/99p0=")</f>
        <v>#REF!</v>
      </c>
      <c r="FC15" t="e">
        <f>AND(#REF!,"AAAAAH/99p4=")</f>
        <v>#REF!</v>
      </c>
      <c r="FD15" t="e">
        <f>AND(#REF!,"AAAAAH/99p8=")</f>
        <v>#REF!</v>
      </c>
      <c r="FE15" t="e">
        <f>AND(#REF!,"AAAAAH/99qA=")</f>
        <v>#REF!</v>
      </c>
      <c r="FF15" t="e">
        <f>AND(#REF!,"AAAAAH/99qE=")</f>
        <v>#REF!</v>
      </c>
      <c r="FG15" t="e">
        <f>AND(#REF!,"AAAAAH/99qI=")</f>
        <v>#REF!</v>
      </c>
      <c r="FH15" t="e">
        <f>IF(#REF!,"AAAAAH/99qM=",0)</f>
        <v>#REF!</v>
      </c>
      <c r="FI15" t="e">
        <f>AND(#REF!,"AAAAAH/99qQ=")</f>
        <v>#REF!</v>
      </c>
      <c r="FJ15" t="e">
        <f>AND(#REF!,"AAAAAH/99qU=")</f>
        <v>#REF!</v>
      </c>
      <c r="FK15" t="e">
        <f>AND(#REF!,"AAAAAH/99qY=")</f>
        <v>#REF!</v>
      </c>
      <c r="FL15" t="e">
        <f>AND(#REF!,"AAAAAH/99qc=")</f>
        <v>#REF!</v>
      </c>
      <c r="FM15" t="e">
        <f>AND(#REF!,"AAAAAH/99qg=")</f>
        <v>#REF!</v>
      </c>
      <c r="FN15" t="e">
        <f>AND(#REF!,"AAAAAH/99qk=")</f>
        <v>#REF!</v>
      </c>
      <c r="FO15" t="e">
        <f>AND(#REF!,"AAAAAH/99qo=")</f>
        <v>#REF!</v>
      </c>
      <c r="FP15" t="e">
        <f>AND(#REF!,"AAAAAH/99qs=")</f>
        <v>#REF!</v>
      </c>
      <c r="FQ15" t="e">
        <f>AND(#REF!,"AAAAAH/99qw=")</f>
        <v>#REF!</v>
      </c>
      <c r="FR15" t="e">
        <f>AND(#REF!,"AAAAAH/99q0=")</f>
        <v>#REF!</v>
      </c>
      <c r="FS15" t="e">
        <f>AND(#REF!,"AAAAAH/99q4=")</f>
        <v>#REF!</v>
      </c>
      <c r="FT15" t="e">
        <f>AND(#REF!,"AAAAAH/99q8=")</f>
        <v>#REF!</v>
      </c>
      <c r="FU15" t="e">
        <f>AND(#REF!,"AAAAAH/99rA=")</f>
        <v>#REF!</v>
      </c>
      <c r="FV15" t="e">
        <f>AND(#REF!,"AAAAAH/99rE=")</f>
        <v>#REF!</v>
      </c>
      <c r="FW15" t="e">
        <f>AND(#REF!,"AAAAAH/99rI=")</f>
        <v>#REF!</v>
      </c>
      <c r="FX15" t="e">
        <f>AND(#REF!,"AAAAAH/99rM=")</f>
        <v>#REF!</v>
      </c>
      <c r="FY15" t="e">
        <f>AND(#REF!,"AAAAAH/99rQ=")</f>
        <v>#REF!</v>
      </c>
      <c r="FZ15" t="e">
        <f>AND(#REF!,"AAAAAH/99rU=")</f>
        <v>#REF!</v>
      </c>
      <c r="GA15" t="e">
        <f>AND(#REF!,"AAAAAH/99rY=")</f>
        <v>#REF!</v>
      </c>
      <c r="GB15" t="e">
        <f>AND(#REF!,"AAAAAH/99rc=")</f>
        <v>#REF!</v>
      </c>
      <c r="GC15" t="e">
        <f>AND(#REF!,"AAAAAH/99rg=")</f>
        <v>#REF!</v>
      </c>
      <c r="GD15" t="e">
        <f>AND(#REF!,"AAAAAH/99rk=")</f>
        <v>#REF!</v>
      </c>
      <c r="GE15" t="e">
        <f>AND(#REF!,"AAAAAH/99ro=")</f>
        <v>#REF!</v>
      </c>
      <c r="GF15" t="e">
        <f>AND(#REF!,"AAAAAH/99rs=")</f>
        <v>#REF!</v>
      </c>
      <c r="GG15" t="e">
        <f>AND(#REF!,"AAAAAH/99rw=")</f>
        <v>#REF!</v>
      </c>
      <c r="GH15" t="e">
        <f>AND(#REF!,"AAAAAH/99r0=")</f>
        <v>#REF!</v>
      </c>
      <c r="GI15" t="e">
        <f>AND(#REF!,"AAAAAH/99r4=")</f>
        <v>#REF!</v>
      </c>
      <c r="GJ15" t="e">
        <f>AND(#REF!,"AAAAAH/99r8=")</f>
        <v>#REF!</v>
      </c>
      <c r="GK15" t="e">
        <f>IF(#REF!,"AAAAAH/99sA=",0)</f>
        <v>#REF!</v>
      </c>
      <c r="GL15" t="e">
        <f>AND(#REF!,"AAAAAH/99sE=")</f>
        <v>#REF!</v>
      </c>
      <c r="GM15" t="e">
        <f>AND(#REF!,"AAAAAH/99sI=")</f>
        <v>#REF!</v>
      </c>
      <c r="GN15" t="e">
        <f>AND(#REF!,"AAAAAH/99sM=")</f>
        <v>#REF!</v>
      </c>
      <c r="GO15" t="e">
        <f>AND(#REF!,"AAAAAH/99sQ=")</f>
        <v>#REF!</v>
      </c>
      <c r="GP15" t="e">
        <f>AND(#REF!,"AAAAAH/99sU=")</f>
        <v>#REF!</v>
      </c>
      <c r="GQ15" t="e">
        <f>AND(#REF!,"AAAAAH/99sY=")</f>
        <v>#REF!</v>
      </c>
      <c r="GR15" t="e">
        <f>AND(#REF!,"AAAAAH/99sc=")</f>
        <v>#REF!</v>
      </c>
      <c r="GS15" t="e">
        <f>AND(#REF!,"AAAAAH/99sg=")</f>
        <v>#REF!</v>
      </c>
      <c r="GT15" t="e">
        <f>AND(#REF!,"AAAAAH/99sk=")</f>
        <v>#REF!</v>
      </c>
      <c r="GU15" t="e">
        <f>AND(#REF!,"AAAAAH/99so=")</f>
        <v>#REF!</v>
      </c>
      <c r="GV15" t="e">
        <f>AND(#REF!,"AAAAAH/99ss=")</f>
        <v>#REF!</v>
      </c>
      <c r="GW15" t="e">
        <f>AND(#REF!,"AAAAAH/99sw=")</f>
        <v>#REF!</v>
      </c>
      <c r="GX15" t="e">
        <f>AND(#REF!,"AAAAAH/99s0=")</f>
        <v>#REF!</v>
      </c>
      <c r="GY15" t="e">
        <f>AND(#REF!,"AAAAAH/99s4=")</f>
        <v>#REF!</v>
      </c>
      <c r="GZ15" t="e">
        <f>AND(#REF!,"AAAAAH/99s8=")</f>
        <v>#REF!</v>
      </c>
      <c r="HA15" t="e">
        <f>AND(#REF!,"AAAAAH/99tA=")</f>
        <v>#REF!</v>
      </c>
      <c r="HB15" t="e">
        <f>AND(#REF!,"AAAAAH/99tE=")</f>
        <v>#REF!</v>
      </c>
      <c r="HC15" t="e">
        <f>AND(#REF!,"AAAAAH/99tI=")</f>
        <v>#REF!</v>
      </c>
      <c r="HD15" t="e">
        <f>AND(#REF!,"AAAAAH/99tM=")</f>
        <v>#REF!</v>
      </c>
      <c r="HE15" t="e">
        <f>AND(#REF!,"AAAAAH/99tQ=")</f>
        <v>#REF!</v>
      </c>
      <c r="HF15" t="e">
        <f>AND(#REF!,"AAAAAH/99tU=")</f>
        <v>#REF!</v>
      </c>
      <c r="HG15" t="e">
        <f>AND(#REF!,"AAAAAH/99tY=")</f>
        <v>#REF!</v>
      </c>
      <c r="HH15" t="e">
        <f>AND(#REF!,"AAAAAH/99tc=")</f>
        <v>#REF!</v>
      </c>
      <c r="HI15" t="e">
        <f>AND(#REF!,"AAAAAH/99tg=")</f>
        <v>#REF!</v>
      </c>
      <c r="HJ15" t="e">
        <f>AND(#REF!,"AAAAAH/99tk=")</f>
        <v>#REF!</v>
      </c>
      <c r="HK15" t="e">
        <f>AND(#REF!,"AAAAAH/99to=")</f>
        <v>#REF!</v>
      </c>
      <c r="HL15" t="e">
        <f>AND(#REF!,"AAAAAH/99ts=")</f>
        <v>#REF!</v>
      </c>
      <c r="HM15" t="e">
        <f>AND(#REF!,"AAAAAH/99tw=")</f>
        <v>#REF!</v>
      </c>
      <c r="HN15" t="e">
        <f>IF(#REF!,"AAAAAH/99t0=",0)</f>
        <v>#REF!</v>
      </c>
      <c r="HO15" t="e">
        <f>AND(#REF!,"AAAAAH/99t4=")</f>
        <v>#REF!</v>
      </c>
      <c r="HP15" t="e">
        <f>AND(#REF!,"AAAAAH/99t8=")</f>
        <v>#REF!</v>
      </c>
      <c r="HQ15" t="e">
        <f>AND(#REF!,"AAAAAH/99uA=")</f>
        <v>#REF!</v>
      </c>
      <c r="HR15" t="e">
        <f>AND(#REF!,"AAAAAH/99uE=")</f>
        <v>#REF!</v>
      </c>
      <c r="HS15" t="e">
        <f>AND(#REF!,"AAAAAH/99uI=")</f>
        <v>#REF!</v>
      </c>
      <c r="HT15" t="e">
        <f>AND(#REF!,"AAAAAH/99uM=")</f>
        <v>#REF!</v>
      </c>
      <c r="HU15" t="e">
        <f>AND(#REF!,"AAAAAH/99uQ=")</f>
        <v>#REF!</v>
      </c>
      <c r="HV15" t="e">
        <f>AND(#REF!,"AAAAAH/99uU=")</f>
        <v>#REF!</v>
      </c>
      <c r="HW15" t="e">
        <f>AND(#REF!,"AAAAAH/99uY=")</f>
        <v>#REF!</v>
      </c>
      <c r="HX15" t="e">
        <f>AND(#REF!,"AAAAAH/99uc=")</f>
        <v>#REF!</v>
      </c>
      <c r="HY15" t="e">
        <f>AND(#REF!,"AAAAAH/99ug=")</f>
        <v>#REF!</v>
      </c>
      <c r="HZ15" t="e">
        <f>AND(#REF!,"AAAAAH/99uk=")</f>
        <v>#REF!</v>
      </c>
      <c r="IA15" t="e">
        <f>AND(#REF!,"AAAAAH/99uo=")</f>
        <v>#REF!</v>
      </c>
      <c r="IB15" t="e">
        <f>AND(#REF!,"AAAAAH/99us=")</f>
        <v>#REF!</v>
      </c>
      <c r="IC15" t="e">
        <f>AND(#REF!,"AAAAAH/99uw=")</f>
        <v>#REF!</v>
      </c>
      <c r="ID15" t="e">
        <f>AND(#REF!,"AAAAAH/99u0=")</f>
        <v>#REF!</v>
      </c>
      <c r="IE15" t="e">
        <f>AND(#REF!,"AAAAAH/99u4=")</f>
        <v>#REF!</v>
      </c>
      <c r="IF15" t="e">
        <f>AND(#REF!,"AAAAAH/99u8=")</f>
        <v>#REF!</v>
      </c>
      <c r="IG15" t="e">
        <f>AND(#REF!,"AAAAAH/99vA=")</f>
        <v>#REF!</v>
      </c>
      <c r="IH15" t="e">
        <f>AND(#REF!,"AAAAAH/99vE=")</f>
        <v>#REF!</v>
      </c>
      <c r="II15" t="e">
        <f>AND(#REF!,"AAAAAH/99vI=")</f>
        <v>#REF!</v>
      </c>
      <c r="IJ15" t="e">
        <f>AND(#REF!,"AAAAAH/99vM=")</f>
        <v>#REF!</v>
      </c>
      <c r="IK15" t="e">
        <f>AND(#REF!,"AAAAAH/99vQ=")</f>
        <v>#REF!</v>
      </c>
      <c r="IL15" t="e">
        <f>AND(#REF!,"AAAAAH/99vU=")</f>
        <v>#REF!</v>
      </c>
      <c r="IM15" t="e">
        <f>AND(#REF!,"AAAAAH/99vY=")</f>
        <v>#REF!</v>
      </c>
      <c r="IN15" t="e">
        <f>AND(#REF!,"AAAAAH/99vc=")</f>
        <v>#REF!</v>
      </c>
      <c r="IO15" t="e">
        <f>AND(#REF!,"AAAAAH/99vg=")</f>
        <v>#REF!</v>
      </c>
      <c r="IP15" t="e">
        <f>AND(#REF!,"AAAAAH/99vk=")</f>
        <v>#REF!</v>
      </c>
      <c r="IQ15" t="e">
        <f>IF(#REF!,"AAAAAH/99vo=",0)</f>
        <v>#REF!</v>
      </c>
      <c r="IR15" t="e">
        <f>AND(#REF!,"AAAAAH/99vs=")</f>
        <v>#REF!</v>
      </c>
      <c r="IS15" t="e">
        <f>AND(#REF!,"AAAAAH/99vw=")</f>
        <v>#REF!</v>
      </c>
      <c r="IT15" t="e">
        <f>AND(#REF!,"AAAAAH/99v0=")</f>
        <v>#REF!</v>
      </c>
      <c r="IU15" t="e">
        <f>AND(#REF!,"AAAAAH/99v4=")</f>
        <v>#REF!</v>
      </c>
      <c r="IV15" t="e">
        <f>AND(#REF!,"AAAAAH/99v8=")</f>
        <v>#REF!</v>
      </c>
    </row>
    <row r="16" spans="1:256" x14ac:dyDescent="0.2">
      <c r="A16" t="e">
        <f>AND(#REF!,"AAAAAHbdXgA=")</f>
        <v>#REF!</v>
      </c>
      <c r="B16" t="e">
        <f>AND(#REF!,"AAAAAHbdXgE=")</f>
        <v>#REF!</v>
      </c>
      <c r="C16" t="e">
        <f>AND(#REF!,"AAAAAHbdXgI=")</f>
        <v>#REF!</v>
      </c>
      <c r="D16" t="e">
        <f>AND(#REF!,"AAAAAHbdXgM=")</f>
        <v>#REF!</v>
      </c>
      <c r="E16" t="e">
        <f>AND(#REF!,"AAAAAHbdXgQ=")</f>
        <v>#REF!</v>
      </c>
      <c r="F16" t="e">
        <f>AND(#REF!,"AAAAAHbdXgU=")</f>
        <v>#REF!</v>
      </c>
      <c r="G16" t="e">
        <f>AND(#REF!,"AAAAAHbdXgY=")</f>
        <v>#REF!</v>
      </c>
      <c r="H16" t="e">
        <f>AND(#REF!,"AAAAAHbdXgc=")</f>
        <v>#REF!</v>
      </c>
      <c r="I16" t="e">
        <f>AND(#REF!,"AAAAAHbdXgg=")</f>
        <v>#REF!</v>
      </c>
      <c r="J16" t="e">
        <f>AND(#REF!,"AAAAAHbdXgk=")</f>
        <v>#REF!</v>
      </c>
      <c r="K16" t="e">
        <f>AND(#REF!,"AAAAAHbdXgo=")</f>
        <v>#REF!</v>
      </c>
      <c r="L16" t="e">
        <f>AND(#REF!,"AAAAAHbdXgs=")</f>
        <v>#REF!</v>
      </c>
      <c r="M16" t="e">
        <f>AND(#REF!,"AAAAAHbdXgw=")</f>
        <v>#REF!</v>
      </c>
      <c r="N16" t="e">
        <f>AND(#REF!,"AAAAAHbdXg0=")</f>
        <v>#REF!</v>
      </c>
      <c r="O16" t="e">
        <f>AND(#REF!,"AAAAAHbdXg4=")</f>
        <v>#REF!</v>
      </c>
      <c r="P16" t="e">
        <f>AND(#REF!,"AAAAAHbdXg8=")</f>
        <v>#REF!</v>
      </c>
      <c r="Q16" t="e">
        <f>AND(#REF!,"AAAAAHbdXhA=")</f>
        <v>#REF!</v>
      </c>
      <c r="R16" t="e">
        <f>AND(#REF!,"AAAAAHbdXhE=")</f>
        <v>#REF!</v>
      </c>
      <c r="S16" t="e">
        <f>AND(#REF!,"AAAAAHbdXhI=")</f>
        <v>#REF!</v>
      </c>
      <c r="T16" t="e">
        <f>AND(#REF!,"AAAAAHbdXhM=")</f>
        <v>#REF!</v>
      </c>
      <c r="U16" t="e">
        <f>AND(#REF!,"AAAAAHbdXhQ=")</f>
        <v>#REF!</v>
      </c>
      <c r="V16" t="e">
        <f>AND(#REF!,"AAAAAHbdXhU=")</f>
        <v>#REF!</v>
      </c>
      <c r="W16" t="e">
        <f>AND(#REF!,"AAAAAHbdXhY=")</f>
        <v>#REF!</v>
      </c>
      <c r="X16" t="e">
        <f>IF(#REF!,"AAAAAHbdXhc=",0)</f>
        <v>#REF!</v>
      </c>
      <c r="Y16" t="e">
        <f>AND(#REF!,"AAAAAHbdXhg=")</f>
        <v>#REF!</v>
      </c>
      <c r="Z16" t="e">
        <f>AND(#REF!,"AAAAAHbdXhk=")</f>
        <v>#REF!</v>
      </c>
      <c r="AA16" t="e">
        <f>AND(#REF!,"AAAAAHbdXho=")</f>
        <v>#REF!</v>
      </c>
      <c r="AB16" t="e">
        <f>AND(#REF!,"AAAAAHbdXhs=")</f>
        <v>#REF!</v>
      </c>
      <c r="AC16" t="e">
        <f>AND(#REF!,"AAAAAHbdXhw=")</f>
        <v>#REF!</v>
      </c>
      <c r="AD16" t="e">
        <f>AND(#REF!,"AAAAAHbdXh0=")</f>
        <v>#REF!</v>
      </c>
      <c r="AE16" t="e">
        <f>AND(#REF!,"AAAAAHbdXh4=")</f>
        <v>#REF!</v>
      </c>
      <c r="AF16" t="e">
        <f>AND(#REF!,"AAAAAHbdXh8=")</f>
        <v>#REF!</v>
      </c>
      <c r="AG16" t="e">
        <f>AND(#REF!,"AAAAAHbdXiA=")</f>
        <v>#REF!</v>
      </c>
      <c r="AH16" t="e">
        <f>AND(#REF!,"AAAAAHbdXiE=")</f>
        <v>#REF!</v>
      </c>
      <c r="AI16" t="e">
        <f>AND(#REF!,"AAAAAHbdXiI=")</f>
        <v>#REF!</v>
      </c>
      <c r="AJ16" t="e">
        <f>AND(#REF!,"AAAAAHbdXiM=")</f>
        <v>#REF!</v>
      </c>
      <c r="AK16" t="e">
        <f>AND(#REF!,"AAAAAHbdXiQ=")</f>
        <v>#REF!</v>
      </c>
      <c r="AL16" t="e">
        <f>AND(#REF!,"AAAAAHbdXiU=")</f>
        <v>#REF!</v>
      </c>
      <c r="AM16" t="e">
        <f>AND(#REF!,"AAAAAHbdXiY=")</f>
        <v>#REF!</v>
      </c>
      <c r="AN16" t="e">
        <f>AND(#REF!,"AAAAAHbdXic=")</f>
        <v>#REF!</v>
      </c>
      <c r="AO16" t="e">
        <f>AND(#REF!,"AAAAAHbdXig=")</f>
        <v>#REF!</v>
      </c>
      <c r="AP16" t="e">
        <f>AND(#REF!,"AAAAAHbdXik=")</f>
        <v>#REF!</v>
      </c>
      <c r="AQ16" t="e">
        <f>AND(#REF!,"AAAAAHbdXio=")</f>
        <v>#REF!</v>
      </c>
      <c r="AR16" t="e">
        <f>AND(#REF!,"AAAAAHbdXis=")</f>
        <v>#REF!</v>
      </c>
      <c r="AS16" t="e">
        <f>AND(#REF!,"AAAAAHbdXiw=")</f>
        <v>#REF!</v>
      </c>
      <c r="AT16" t="e">
        <f>AND(#REF!,"AAAAAHbdXi0=")</f>
        <v>#REF!</v>
      </c>
      <c r="AU16" t="e">
        <f>AND(#REF!,"AAAAAHbdXi4=")</f>
        <v>#REF!</v>
      </c>
      <c r="AV16" t="e">
        <f>AND(#REF!,"AAAAAHbdXi8=")</f>
        <v>#REF!</v>
      </c>
      <c r="AW16" t="e">
        <f>AND(#REF!,"AAAAAHbdXjA=")</f>
        <v>#REF!</v>
      </c>
      <c r="AX16" t="e">
        <f>AND(#REF!,"AAAAAHbdXjE=")</f>
        <v>#REF!</v>
      </c>
      <c r="AY16" t="e">
        <f>AND(#REF!,"AAAAAHbdXjI=")</f>
        <v>#REF!</v>
      </c>
      <c r="AZ16" t="e">
        <f>AND(#REF!,"AAAAAHbdXjM=")</f>
        <v>#REF!</v>
      </c>
      <c r="BA16" t="e">
        <f>IF(#REF!,"AAAAAHbdXjQ=",0)</f>
        <v>#REF!</v>
      </c>
      <c r="BB16" t="e">
        <f>AND(#REF!,"AAAAAHbdXjU=")</f>
        <v>#REF!</v>
      </c>
      <c r="BC16" t="e">
        <f>AND(#REF!,"AAAAAHbdXjY=")</f>
        <v>#REF!</v>
      </c>
      <c r="BD16" t="e">
        <f>AND(#REF!,"AAAAAHbdXjc=")</f>
        <v>#REF!</v>
      </c>
      <c r="BE16" t="e">
        <f>AND(#REF!,"AAAAAHbdXjg=")</f>
        <v>#REF!</v>
      </c>
      <c r="BF16" t="e">
        <f>AND(#REF!,"AAAAAHbdXjk=")</f>
        <v>#REF!</v>
      </c>
      <c r="BG16" t="e">
        <f>AND(#REF!,"AAAAAHbdXjo=")</f>
        <v>#REF!</v>
      </c>
      <c r="BH16" t="e">
        <f>AND(#REF!,"AAAAAHbdXjs=")</f>
        <v>#REF!</v>
      </c>
      <c r="BI16" t="e">
        <f>AND(#REF!,"AAAAAHbdXjw=")</f>
        <v>#REF!</v>
      </c>
      <c r="BJ16" t="e">
        <f>AND(#REF!,"AAAAAHbdXj0=")</f>
        <v>#REF!</v>
      </c>
      <c r="BK16" t="e">
        <f>AND(#REF!,"AAAAAHbdXj4=")</f>
        <v>#REF!</v>
      </c>
      <c r="BL16" t="e">
        <f>AND(#REF!,"AAAAAHbdXj8=")</f>
        <v>#REF!</v>
      </c>
      <c r="BM16" t="e">
        <f>AND(#REF!,"AAAAAHbdXkA=")</f>
        <v>#REF!</v>
      </c>
      <c r="BN16" t="e">
        <f>AND(#REF!,"AAAAAHbdXkE=")</f>
        <v>#REF!</v>
      </c>
      <c r="BO16" t="e">
        <f>AND(#REF!,"AAAAAHbdXkI=")</f>
        <v>#REF!</v>
      </c>
      <c r="BP16" t="e">
        <f>AND(#REF!,"AAAAAHbdXkM=")</f>
        <v>#REF!</v>
      </c>
      <c r="BQ16" t="e">
        <f>AND(#REF!,"AAAAAHbdXkQ=")</f>
        <v>#REF!</v>
      </c>
      <c r="BR16" t="e">
        <f>AND(#REF!,"AAAAAHbdXkU=")</f>
        <v>#REF!</v>
      </c>
      <c r="BS16" t="e">
        <f>AND(#REF!,"AAAAAHbdXkY=")</f>
        <v>#REF!</v>
      </c>
      <c r="BT16" t="e">
        <f>AND(#REF!,"AAAAAHbdXkc=")</f>
        <v>#REF!</v>
      </c>
      <c r="BU16" t="e">
        <f>AND(#REF!,"AAAAAHbdXkg=")</f>
        <v>#REF!</v>
      </c>
      <c r="BV16" t="e">
        <f>AND(#REF!,"AAAAAHbdXkk=")</f>
        <v>#REF!</v>
      </c>
      <c r="BW16" t="e">
        <f>AND(#REF!,"AAAAAHbdXko=")</f>
        <v>#REF!</v>
      </c>
      <c r="BX16" t="e">
        <f>AND(#REF!,"AAAAAHbdXks=")</f>
        <v>#REF!</v>
      </c>
      <c r="BY16" t="e">
        <f>AND(#REF!,"AAAAAHbdXkw=")</f>
        <v>#REF!</v>
      </c>
      <c r="BZ16" t="e">
        <f>AND(#REF!,"AAAAAHbdXk0=")</f>
        <v>#REF!</v>
      </c>
      <c r="CA16" t="e">
        <f>AND(#REF!,"AAAAAHbdXk4=")</f>
        <v>#REF!</v>
      </c>
      <c r="CB16" t="e">
        <f>AND(#REF!,"AAAAAHbdXk8=")</f>
        <v>#REF!</v>
      </c>
      <c r="CC16" t="e">
        <f>AND(#REF!,"AAAAAHbdXlA=")</f>
        <v>#REF!</v>
      </c>
      <c r="CD16" t="e">
        <f>IF(#REF!,"AAAAAHbdXlE=",0)</f>
        <v>#REF!</v>
      </c>
      <c r="CE16" t="e">
        <f>AND(#REF!,"AAAAAHbdXlI=")</f>
        <v>#REF!</v>
      </c>
      <c r="CF16" t="e">
        <f>AND(#REF!,"AAAAAHbdXlM=")</f>
        <v>#REF!</v>
      </c>
      <c r="CG16" t="e">
        <f>AND(#REF!,"AAAAAHbdXlQ=")</f>
        <v>#REF!</v>
      </c>
      <c r="CH16" t="e">
        <f>AND(#REF!,"AAAAAHbdXlU=")</f>
        <v>#REF!</v>
      </c>
      <c r="CI16" t="e">
        <f>AND(#REF!,"AAAAAHbdXlY=")</f>
        <v>#REF!</v>
      </c>
      <c r="CJ16" t="e">
        <f>AND(#REF!,"AAAAAHbdXlc=")</f>
        <v>#REF!</v>
      </c>
      <c r="CK16" t="e">
        <f>AND(#REF!,"AAAAAHbdXlg=")</f>
        <v>#REF!</v>
      </c>
      <c r="CL16" t="e">
        <f>AND(#REF!,"AAAAAHbdXlk=")</f>
        <v>#REF!</v>
      </c>
      <c r="CM16" t="e">
        <f>AND(#REF!,"AAAAAHbdXlo=")</f>
        <v>#REF!</v>
      </c>
      <c r="CN16" t="e">
        <f>AND(#REF!,"AAAAAHbdXls=")</f>
        <v>#REF!</v>
      </c>
      <c r="CO16" t="e">
        <f>AND(#REF!,"AAAAAHbdXlw=")</f>
        <v>#REF!</v>
      </c>
      <c r="CP16" t="e">
        <f>AND(#REF!,"AAAAAHbdXl0=")</f>
        <v>#REF!</v>
      </c>
      <c r="CQ16" t="e">
        <f>AND(#REF!,"AAAAAHbdXl4=")</f>
        <v>#REF!</v>
      </c>
      <c r="CR16" t="e">
        <f>AND(#REF!,"AAAAAHbdXl8=")</f>
        <v>#REF!</v>
      </c>
      <c r="CS16" t="e">
        <f>AND(#REF!,"AAAAAHbdXmA=")</f>
        <v>#REF!</v>
      </c>
      <c r="CT16" t="e">
        <f>AND(#REF!,"AAAAAHbdXmE=")</f>
        <v>#REF!</v>
      </c>
      <c r="CU16" t="e">
        <f>AND(#REF!,"AAAAAHbdXmI=")</f>
        <v>#REF!</v>
      </c>
      <c r="CV16" t="e">
        <f>AND(#REF!,"AAAAAHbdXmM=")</f>
        <v>#REF!</v>
      </c>
      <c r="CW16" t="e">
        <f>AND(#REF!,"AAAAAHbdXmQ=")</f>
        <v>#REF!</v>
      </c>
      <c r="CX16" t="e">
        <f>AND(#REF!,"AAAAAHbdXmU=")</f>
        <v>#REF!</v>
      </c>
      <c r="CY16" t="e">
        <f>AND(#REF!,"AAAAAHbdXmY=")</f>
        <v>#REF!</v>
      </c>
      <c r="CZ16" t="e">
        <f>AND(#REF!,"AAAAAHbdXmc=")</f>
        <v>#REF!</v>
      </c>
      <c r="DA16" t="e">
        <f>AND(#REF!,"AAAAAHbdXmg=")</f>
        <v>#REF!</v>
      </c>
      <c r="DB16" t="e">
        <f>AND(#REF!,"AAAAAHbdXmk=")</f>
        <v>#REF!</v>
      </c>
      <c r="DC16" t="e">
        <f>AND(#REF!,"AAAAAHbdXmo=")</f>
        <v>#REF!</v>
      </c>
      <c r="DD16" t="e">
        <f>AND(#REF!,"AAAAAHbdXms=")</f>
        <v>#REF!</v>
      </c>
      <c r="DE16" t="e">
        <f>AND(#REF!,"AAAAAHbdXmw=")</f>
        <v>#REF!</v>
      </c>
      <c r="DF16" t="e">
        <f>AND(#REF!,"AAAAAHbdXm0=")</f>
        <v>#REF!</v>
      </c>
      <c r="DG16" t="e">
        <f>IF(#REF!,"AAAAAHbdXm4=",0)</f>
        <v>#REF!</v>
      </c>
      <c r="DH16" t="e">
        <f>AND(#REF!,"AAAAAHbdXm8=")</f>
        <v>#REF!</v>
      </c>
      <c r="DI16" t="e">
        <f>AND(#REF!,"AAAAAHbdXnA=")</f>
        <v>#REF!</v>
      </c>
      <c r="DJ16" t="e">
        <f>AND(#REF!,"AAAAAHbdXnE=")</f>
        <v>#REF!</v>
      </c>
      <c r="DK16" t="e">
        <f>AND(#REF!,"AAAAAHbdXnI=")</f>
        <v>#REF!</v>
      </c>
      <c r="DL16" t="e">
        <f>AND(#REF!,"AAAAAHbdXnM=")</f>
        <v>#REF!</v>
      </c>
      <c r="DM16" t="e">
        <f>AND(#REF!,"AAAAAHbdXnQ=")</f>
        <v>#REF!</v>
      </c>
      <c r="DN16" t="e">
        <f>AND(#REF!,"AAAAAHbdXnU=")</f>
        <v>#REF!</v>
      </c>
      <c r="DO16" t="e">
        <f>AND(#REF!,"AAAAAHbdXnY=")</f>
        <v>#REF!</v>
      </c>
      <c r="DP16" t="e">
        <f>AND(#REF!,"AAAAAHbdXnc=")</f>
        <v>#REF!</v>
      </c>
      <c r="DQ16" t="e">
        <f>AND(#REF!,"AAAAAHbdXng=")</f>
        <v>#REF!</v>
      </c>
      <c r="DR16" t="e">
        <f>AND(#REF!,"AAAAAHbdXnk=")</f>
        <v>#REF!</v>
      </c>
      <c r="DS16" t="e">
        <f>AND(#REF!,"AAAAAHbdXno=")</f>
        <v>#REF!</v>
      </c>
      <c r="DT16" t="e">
        <f>AND(#REF!,"AAAAAHbdXns=")</f>
        <v>#REF!</v>
      </c>
      <c r="DU16" t="e">
        <f>AND(#REF!,"AAAAAHbdXnw=")</f>
        <v>#REF!</v>
      </c>
      <c r="DV16" t="e">
        <f>AND(#REF!,"AAAAAHbdXn0=")</f>
        <v>#REF!</v>
      </c>
      <c r="DW16" t="e">
        <f>AND(#REF!,"AAAAAHbdXn4=")</f>
        <v>#REF!</v>
      </c>
      <c r="DX16" t="e">
        <f>AND(#REF!,"AAAAAHbdXn8=")</f>
        <v>#REF!</v>
      </c>
      <c r="DY16" t="e">
        <f>AND(#REF!,"AAAAAHbdXoA=")</f>
        <v>#REF!</v>
      </c>
      <c r="DZ16" t="e">
        <f>AND(#REF!,"AAAAAHbdXoE=")</f>
        <v>#REF!</v>
      </c>
      <c r="EA16" t="e">
        <f>AND(#REF!,"AAAAAHbdXoI=")</f>
        <v>#REF!</v>
      </c>
      <c r="EB16" t="e">
        <f>AND(#REF!,"AAAAAHbdXoM=")</f>
        <v>#REF!</v>
      </c>
      <c r="EC16" t="e">
        <f>AND(#REF!,"AAAAAHbdXoQ=")</f>
        <v>#REF!</v>
      </c>
      <c r="ED16" t="e">
        <f>AND(#REF!,"AAAAAHbdXoU=")</f>
        <v>#REF!</v>
      </c>
      <c r="EE16" t="e">
        <f>AND(#REF!,"AAAAAHbdXoY=")</f>
        <v>#REF!</v>
      </c>
      <c r="EF16" t="e">
        <f>AND(#REF!,"AAAAAHbdXoc=")</f>
        <v>#REF!</v>
      </c>
      <c r="EG16" t="e">
        <f>AND(#REF!,"AAAAAHbdXog=")</f>
        <v>#REF!</v>
      </c>
      <c r="EH16" t="e">
        <f>AND(#REF!,"AAAAAHbdXok=")</f>
        <v>#REF!</v>
      </c>
      <c r="EI16" t="e">
        <f>AND(#REF!,"AAAAAHbdXoo=")</f>
        <v>#REF!</v>
      </c>
      <c r="EJ16" t="e">
        <f>IF(#REF!,"AAAAAHbdXos=",0)</f>
        <v>#REF!</v>
      </c>
      <c r="EK16" t="e">
        <f>AND(#REF!,"AAAAAHbdXow=")</f>
        <v>#REF!</v>
      </c>
      <c r="EL16" t="e">
        <f>AND(#REF!,"AAAAAHbdXo0=")</f>
        <v>#REF!</v>
      </c>
      <c r="EM16" t="e">
        <f>AND(#REF!,"AAAAAHbdXo4=")</f>
        <v>#REF!</v>
      </c>
      <c r="EN16" t="e">
        <f>AND(#REF!,"AAAAAHbdXo8=")</f>
        <v>#REF!</v>
      </c>
      <c r="EO16" t="e">
        <f>AND(#REF!,"AAAAAHbdXpA=")</f>
        <v>#REF!</v>
      </c>
      <c r="EP16" t="e">
        <f>AND(#REF!,"AAAAAHbdXpE=")</f>
        <v>#REF!</v>
      </c>
      <c r="EQ16" t="e">
        <f>AND(#REF!,"AAAAAHbdXpI=")</f>
        <v>#REF!</v>
      </c>
      <c r="ER16" t="e">
        <f>AND(#REF!,"AAAAAHbdXpM=")</f>
        <v>#REF!</v>
      </c>
      <c r="ES16" t="e">
        <f>AND(#REF!,"AAAAAHbdXpQ=")</f>
        <v>#REF!</v>
      </c>
      <c r="ET16" t="e">
        <f>AND(#REF!,"AAAAAHbdXpU=")</f>
        <v>#REF!</v>
      </c>
      <c r="EU16" t="e">
        <f>AND(#REF!,"AAAAAHbdXpY=")</f>
        <v>#REF!</v>
      </c>
      <c r="EV16" t="e">
        <f>AND(#REF!,"AAAAAHbdXpc=")</f>
        <v>#REF!</v>
      </c>
      <c r="EW16" t="e">
        <f>AND(#REF!,"AAAAAHbdXpg=")</f>
        <v>#REF!</v>
      </c>
      <c r="EX16" t="e">
        <f>AND(#REF!,"AAAAAHbdXpk=")</f>
        <v>#REF!</v>
      </c>
      <c r="EY16" t="e">
        <f>AND(#REF!,"AAAAAHbdXpo=")</f>
        <v>#REF!</v>
      </c>
      <c r="EZ16" t="e">
        <f>AND(#REF!,"AAAAAHbdXps=")</f>
        <v>#REF!</v>
      </c>
      <c r="FA16" t="e">
        <f>AND(#REF!,"AAAAAHbdXpw=")</f>
        <v>#REF!</v>
      </c>
      <c r="FB16" t="e">
        <f>AND(#REF!,"AAAAAHbdXp0=")</f>
        <v>#REF!</v>
      </c>
      <c r="FC16" t="e">
        <f>AND(#REF!,"AAAAAHbdXp4=")</f>
        <v>#REF!</v>
      </c>
      <c r="FD16" t="e">
        <f>AND(#REF!,"AAAAAHbdXp8=")</f>
        <v>#REF!</v>
      </c>
      <c r="FE16" t="e">
        <f>AND(#REF!,"AAAAAHbdXqA=")</f>
        <v>#REF!</v>
      </c>
      <c r="FF16" t="e">
        <f>AND(#REF!,"AAAAAHbdXqE=")</f>
        <v>#REF!</v>
      </c>
      <c r="FG16" t="e">
        <f>AND(#REF!,"AAAAAHbdXqI=")</f>
        <v>#REF!</v>
      </c>
      <c r="FH16" t="e">
        <f>AND(#REF!,"AAAAAHbdXqM=")</f>
        <v>#REF!</v>
      </c>
      <c r="FI16" t="e">
        <f>AND(#REF!,"AAAAAHbdXqQ=")</f>
        <v>#REF!</v>
      </c>
      <c r="FJ16" t="e">
        <f>AND(#REF!,"AAAAAHbdXqU=")</f>
        <v>#REF!</v>
      </c>
      <c r="FK16" t="e">
        <f>AND(#REF!,"AAAAAHbdXqY=")</f>
        <v>#REF!</v>
      </c>
      <c r="FL16" t="e">
        <f>AND(#REF!,"AAAAAHbdXqc=")</f>
        <v>#REF!</v>
      </c>
      <c r="FM16" t="e">
        <f>IF(#REF!,"AAAAAHbdXqg=",0)</f>
        <v>#REF!</v>
      </c>
      <c r="FN16" t="e">
        <f>AND(#REF!,"AAAAAHbdXqk=")</f>
        <v>#REF!</v>
      </c>
      <c r="FO16" t="e">
        <f>AND(#REF!,"AAAAAHbdXqo=")</f>
        <v>#REF!</v>
      </c>
      <c r="FP16" t="e">
        <f>AND(#REF!,"AAAAAHbdXqs=")</f>
        <v>#REF!</v>
      </c>
      <c r="FQ16" t="e">
        <f>AND(#REF!,"AAAAAHbdXqw=")</f>
        <v>#REF!</v>
      </c>
      <c r="FR16" t="e">
        <f>AND(#REF!,"AAAAAHbdXq0=")</f>
        <v>#REF!</v>
      </c>
      <c r="FS16" t="e">
        <f>AND(#REF!,"AAAAAHbdXq4=")</f>
        <v>#REF!</v>
      </c>
      <c r="FT16" t="e">
        <f>AND(#REF!,"AAAAAHbdXq8=")</f>
        <v>#REF!</v>
      </c>
      <c r="FU16" t="e">
        <f>AND(#REF!,"AAAAAHbdXrA=")</f>
        <v>#REF!</v>
      </c>
      <c r="FV16" t="e">
        <f>AND(#REF!,"AAAAAHbdXrE=")</f>
        <v>#REF!</v>
      </c>
      <c r="FW16" t="e">
        <f>AND(#REF!,"AAAAAHbdXrI=")</f>
        <v>#REF!</v>
      </c>
      <c r="FX16" t="e">
        <f>AND(#REF!,"AAAAAHbdXrM=")</f>
        <v>#REF!</v>
      </c>
      <c r="FY16" t="e">
        <f>AND(#REF!,"AAAAAHbdXrQ=")</f>
        <v>#REF!</v>
      </c>
      <c r="FZ16" t="e">
        <f>AND(#REF!,"AAAAAHbdXrU=")</f>
        <v>#REF!</v>
      </c>
      <c r="GA16" t="e">
        <f>AND(#REF!,"AAAAAHbdXrY=")</f>
        <v>#REF!</v>
      </c>
      <c r="GB16" t="e">
        <f>AND(#REF!,"AAAAAHbdXrc=")</f>
        <v>#REF!</v>
      </c>
      <c r="GC16" t="e">
        <f>AND(#REF!,"AAAAAHbdXrg=")</f>
        <v>#REF!</v>
      </c>
      <c r="GD16" t="e">
        <f>AND(#REF!,"AAAAAHbdXrk=")</f>
        <v>#REF!</v>
      </c>
      <c r="GE16" t="e">
        <f>AND(#REF!,"AAAAAHbdXro=")</f>
        <v>#REF!</v>
      </c>
      <c r="GF16" t="e">
        <f>AND(#REF!,"AAAAAHbdXrs=")</f>
        <v>#REF!</v>
      </c>
      <c r="GG16" t="e">
        <f>AND(#REF!,"AAAAAHbdXrw=")</f>
        <v>#REF!</v>
      </c>
      <c r="GH16" t="e">
        <f>AND(#REF!,"AAAAAHbdXr0=")</f>
        <v>#REF!</v>
      </c>
      <c r="GI16" t="e">
        <f>AND(#REF!,"AAAAAHbdXr4=")</f>
        <v>#REF!</v>
      </c>
      <c r="GJ16" t="e">
        <f>AND(#REF!,"AAAAAHbdXr8=")</f>
        <v>#REF!</v>
      </c>
      <c r="GK16" t="e">
        <f>AND(#REF!,"AAAAAHbdXsA=")</f>
        <v>#REF!</v>
      </c>
      <c r="GL16" t="e">
        <f>AND(#REF!,"AAAAAHbdXsE=")</f>
        <v>#REF!</v>
      </c>
      <c r="GM16" t="e">
        <f>AND(#REF!,"AAAAAHbdXsI=")</f>
        <v>#REF!</v>
      </c>
      <c r="GN16" t="e">
        <f>AND(#REF!,"AAAAAHbdXsM=")</f>
        <v>#REF!</v>
      </c>
      <c r="GO16" t="e">
        <f>AND(#REF!,"AAAAAHbdXsQ=")</f>
        <v>#REF!</v>
      </c>
      <c r="GP16" t="e">
        <f>IF(#REF!,"AAAAAHbdXsU=",0)</f>
        <v>#REF!</v>
      </c>
      <c r="GQ16" t="e">
        <f>AND(#REF!,"AAAAAHbdXsY=")</f>
        <v>#REF!</v>
      </c>
      <c r="GR16" t="e">
        <f>AND(#REF!,"AAAAAHbdXsc=")</f>
        <v>#REF!</v>
      </c>
      <c r="GS16" t="e">
        <f>AND(#REF!,"AAAAAHbdXsg=")</f>
        <v>#REF!</v>
      </c>
      <c r="GT16" t="e">
        <f>AND(#REF!,"AAAAAHbdXsk=")</f>
        <v>#REF!</v>
      </c>
      <c r="GU16" t="e">
        <f>AND(#REF!,"AAAAAHbdXso=")</f>
        <v>#REF!</v>
      </c>
      <c r="GV16" t="e">
        <f>AND(#REF!,"AAAAAHbdXss=")</f>
        <v>#REF!</v>
      </c>
      <c r="GW16" t="e">
        <f>AND(#REF!,"AAAAAHbdXsw=")</f>
        <v>#REF!</v>
      </c>
      <c r="GX16" t="e">
        <f>AND(#REF!,"AAAAAHbdXs0=")</f>
        <v>#REF!</v>
      </c>
      <c r="GY16" t="e">
        <f>AND(#REF!,"AAAAAHbdXs4=")</f>
        <v>#REF!</v>
      </c>
      <c r="GZ16" t="e">
        <f>AND(#REF!,"AAAAAHbdXs8=")</f>
        <v>#REF!</v>
      </c>
      <c r="HA16" t="e">
        <f>AND(#REF!,"AAAAAHbdXtA=")</f>
        <v>#REF!</v>
      </c>
      <c r="HB16" t="e">
        <f>AND(#REF!,"AAAAAHbdXtE=")</f>
        <v>#REF!</v>
      </c>
      <c r="HC16" t="e">
        <f>AND(#REF!,"AAAAAHbdXtI=")</f>
        <v>#REF!</v>
      </c>
      <c r="HD16" t="e">
        <f>AND(#REF!,"AAAAAHbdXtM=")</f>
        <v>#REF!</v>
      </c>
      <c r="HE16" t="e">
        <f>AND(#REF!,"AAAAAHbdXtQ=")</f>
        <v>#REF!</v>
      </c>
      <c r="HF16" t="e">
        <f>AND(#REF!,"AAAAAHbdXtU=")</f>
        <v>#REF!</v>
      </c>
      <c r="HG16" t="e">
        <f>AND(#REF!,"AAAAAHbdXtY=")</f>
        <v>#REF!</v>
      </c>
      <c r="HH16" t="e">
        <f>AND(#REF!,"AAAAAHbdXtc=")</f>
        <v>#REF!</v>
      </c>
      <c r="HI16" t="e">
        <f>AND(#REF!,"AAAAAHbdXtg=")</f>
        <v>#REF!</v>
      </c>
      <c r="HJ16" t="e">
        <f>AND(#REF!,"AAAAAHbdXtk=")</f>
        <v>#REF!</v>
      </c>
      <c r="HK16" t="e">
        <f>AND(#REF!,"AAAAAHbdXto=")</f>
        <v>#REF!</v>
      </c>
      <c r="HL16" t="e">
        <f>AND(#REF!,"AAAAAHbdXts=")</f>
        <v>#REF!</v>
      </c>
      <c r="HM16" t="e">
        <f>AND(#REF!,"AAAAAHbdXtw=")</f>
        <v>#REF!</v>
      </c>
      <c r="HN16" t="e">
        <f>AND(#REF!,"AAAAAHbdXt0=")</f>
        <v>#REF!</v>
      </c>
      <c r="HO16" t="e">
        <f>AND(#REF!,"AAAAAHbdXt4=")</f>
        <v>#REF!</v>
      </c>
      <c r="HP16" t="e">
        <f>AND(#REF!,"AAAAAHbdXt8=")</f>
        <v>#REF!</v>
      </c>
      <c r="HQ16" t="e">
        <f>AND(#REF!,"AAAAAHbdXuA=")</f>
        <v>#REF!</v>
      </c>
      <c r="HR16" t="e">
        <f>AND(#REF!,"AAAAAHbdXuE=")</f>
        <v>#REF!</v>
      </c>
      <c r="HS16" t="e">
        <f>IF(#REF!,"AAAAAHbdXuI=",0)</f>
        <v>#REF!</v>
      </c>
      <c r="HT16" t="e">
        <f>AND(#REF!,"AAAAAHbdXuM=")</f>
        <v>#REF!</v>
      </c>
      <c r="HU16" t="e">
        <f>AND(#REF!,"AAAAAHbdXuQ=")</f>
        <v>#REF!</v>
      </c>
      <c r="HV16" t="e">
        <f>AND(#REF!,"AAAAAHbdXuU=")</f>
        <v>#REF!</v>
      </c>
      <c r="HW16" t="e">
        <f>AND(#REF!,"AAAAAHbdXuY=")</f>
        <v>#REF!</v>
      </c>
      <c r="HX16" t="e">
        <f>AND(#REF!,"AAAAAHbdXuc=")</f>
        <v>#REF!</v>
      </c>
      <c r="HY16" t="e">
        <f>AND(#REF!,"AAAAAHbdXug=")</f>
        <v>#REF!</v>
      </c>
      <c r="HZ16" t="e">
        <f>AND(#REF!,"AAAAAHbdXuk=")</f>
        <v>#REF!</v>
      </c>
      <c r="IA16" t="e">
        <f>AND(#REF!,"AAAAAHbdXuo=")</f>
        <v>#REF!</v>
      </c>
      <c r="IB16" t="e">
        <f>AND(#REF!,"AAAAAHbdXus=")</f>
        <v>#REF!</v>
      </c>
      <c r="IC16" t="e">
        <f>AND(#REF!,"AAAAAHbdXuw=")</f>
        <v>#REF!</v>
      </c>
      <c r="ID16" t="e">
        <f>AND(#REF!,"AAAAAHbdXu0=")</f>
        <v>#REF!</v>
      </c>
      <c r="IE16" t="e">
        <f>AND(#REF!,"AAAAAHbdXu4=")</f>
        <v>#REF!</v>
      </c>
      <c r="IF16" t="e">
        <f>AND(#REF!,"AAAAAHbdXu8=")</f>
        <v>#REF!</v>
      </c>
      <c r="IG16" t="e">
        <f>AND(#REF!,"AAAAAHbdXvA=")</f>
        <v>#REF!</v>
      </c>
      <c r="IH16" t="e">
        <f>AND(#REF!,"AAAAAHbdXvE=")</f>
        <v>#REF!</v>
      </c>
      <c r="II16" t="e">
        <f>AND(#REF!,"AAAAAHbdXvI=")</f>
        <v>#REF!</v>
      </c>
      <c r="IJ16" t="e">
        <f>AND(#REF!,"AAAAAHbdXvM=")</f>
        <v>#REF!</v>
      </c>
      <c r="IK16" t="e">
        <f>AND(#REF!,"AAAAAHbdXvQ=")</f>
        <v>#REF!</v>
      </c>
      <c r="IL16" t="e">
        <f>AND(#REF!,"AAAAAHbdXvU=")</f>
        <v>#REF!</v>
      </c>
      <c r="IM16" t="e">
        <f>AND(#REF!,"AAAAAHbdXvY=")</f>
        <v>#REF!</v>
      </c>
      <c r="IN16" t="e">
        <f>AND(#REF!,"AAAAAHbdXvc=")</f>
        <v>#REF!</v>
      </c>
      <c r="IO16" t="e">
        <f>AND(#REF!,"AAAAAHbdXvg=")</f>
        <v>#REF!</v>
      </c>
      <c r="IP16" t="e">
        <f>AND(#REF!,"AAAAAHbdXvk=")</f>
        <v>#REF!</v>
      </c>
      <c r="IQ16" t="e">
        <f>AND(#REF!,"AAAAAHbdXvo=")</f>
        <v>#REF!</v>
      </c>
      <c r="IR16" t="e">
        <f>AND(#REF!,"AAAAAHbdXvs=")</f>
        <v>#REF!</v>
      </c>
      <c r="IS16" t="e">
        <f>AND(#REF!,"AAAAAHbdXvw=")</f>
        <v>#REF!</v>
      </c>
      <c r="IT16" t="e">
        <f>AND(#REF!,"AAAAAHbdXv0=")</f>
        <v>#REF!</v>
      </c>
      <c r="IU16" t="e">
        <f>AND(#REF!,"AAAAAHbdXv4=")</f>
        <v>#REF!</v>
      </c>
      <c r="IV16" t="e">
        <f>IF(#REF!,"AAAAAHbdXv8=",0)</f>
        <v>#REF!</v>
      </c>
    </row>
    <row r="17" spans="1:256" x14ac:dyDescent="0.2">
      <c r="A17" t="e">
        <f>AND(#REF!,"AAAAACPt3wA=")</f>
        <v>#REF!</v>
      </c>
      <c r="B17" t="e">
        <f>AND(#REF!,"AAAAACPt3wE=")</f>
        <v>#REF!</v>
      </c>
      <c r="C17" t="e">
        <f>AND(#REF!,"AAAAACPt3wI=")</f>
        <v>#REF!</v>
      </c>
      <c r="D17" t="e">
        <f>AND(#REF!,"AAAAACPt3wM=")</f>
        <v>#REF!</v>
      </c>
      <c r="E17" t="e">
        <f>AND(#REF!,"AAAAACPt3wQ=")</f>
        <v>#REF!</v>
      </c>
      <c r="F17" t="e">
        <f>AND(#REF!,"AAAAACPt3wU=")</f>
        <v>#REF!</v>
      </c>
      <c r="G17" t="e">
        <f>AND(#REF!,"AAAAACPt3wY=")</f>
        <v>#REF!</v>
      </c>
      <c r="H17" t="e">
        <f>AND(#REF!,"AAAAACPt3wc=")</f>
        <v>#REF!</v>
      </c>
      <c r="I17" t="e">
        <f>AND(#REF!,"AAAAACPt3wg=")</f>
        <v>#REF!</v>
      </c>
      <c r="J17" t="e">
        <f>AND(#REF!,"AAAAACPt3wk=")</f>
        <v>#REF!</v>
      </c>
      <c r="K17" t="e">
        <f>AND(#REF!,"AAAAACPt3wo=")</f>
        <v>#REF!</v>
      </c>
      <c r="L17" t="e">
        <f>AND(#REF!,"AAAAACPt3ws=")</f>
        <v>#REF!</v>
      </c>
      <c r="M17" t="e">
        <f>AND(#REF!,"AAAAACPt3ww=")</f>
        <v>#REF!</v>
      </c>
      <c r="N17" t="e">
        <f>AND(#REF!,"AAAAACPt3w0=")</f>
        <v>#REF!</v>
      </c>
      <c r="O17" t="e">
        <f>AND(#REF!,"AAAAACPt3w4=")</f>
        <v>#REF!</v>
      </c>
      <c r="P17" t="e">
        <f>AND(#REF!,"AAAAACPt3w8=")</f>
        <v>#REF!</v>
      </c>
      <c r="Q17" t="e">
        <f>AND(#REF!,"AAAAACPt3xA=")</f>
        <v>#REF!</v>
      </c>
      <c r="R17" t="e">
        <f>AND(#REF!,"AAAAACPt3xE=")</f>
        <v>#REF!</v>
      </c>
      <c r="S17" t="e">
        <f>AND(#REF!,"AAAAACPt3xI=")</f>
        <v>#REF!</v>
      </c>
      <c r="T17" t="e">
        <f>AND(#REF!,"AAAAACPt3xM=")</f>
        <v>#REF!</v>
      </c>
      <c r="U17" t="e">
        <f>AND(#REF!,"AAAAACPt3xQ=")</f>
        <v>#REF!</v>
      </c>
      <c r="V17" t="e">
        <f>AND(#REF!,"AAAAACPt3xU=")</f>
        <v>#REF!</v>
      </c>
      <c r="W17" t="e">
        <f>AND(#REF!,"AAAAACPt3xY=")</f>
        <v>#REF!</v>
      </c>
      <c r="X17" t="e">
        <f>AND(#REF!,"AAAAACPt3xc=")</f>
        <v>#REF!</v>
      </c>
      <c r="Y17" t="e">
        <f>AND(#REF!,"AAAAACPt3xg=")</f>
        <v>#REF!</v>
      </c>
      <c r="Z17" t="e">
        <f>AND(#REF!,"AAAAACPt3xk=")</f>
        <v>#REF!</v>
      </c>
      <c r="AA17" t="e">
        <f>AND(#REF!,"AAAAACPt3xo=")</f>
        <v>#REF!</v>
      </c>
      <c r="AB17" t="e">
        <f>AND(#REF!,"AAAAACPt3xs=")</f>
        <v>#REF!</v>
      </c>
      <c r="AC17" t="e">
        <f>IF(#REF!,"AAAAACPt3xw=",0)</f>
        <v>#REF!</v>
      </c>
      <c r="AD17" t="e">
        <f>AND(#REF!,"AAAAACPt3x0=")</f>
        <v>#REF!</v>
      </c>
      <c r="AE17" t="e">
        <f>AND(#REF!,"AAAAACPt3x4=")</f>
        <v>#REF!</v>
      </c>
      <c r="AF17" t="e">
        <f>AND(#REF!,"AAAAACPt3x8=")</f>
        <v>#REF!</v>
      </c>
      <c r="AG17" t="e">
        <f>AND(#REF!,"AAAAACPt3yA=")</f>
        <v>#REF!</v>
      </c>
      <c r="AH17" t="e">
        <f>AND(#REF!,"AAAAACPt3yE=")</f>
        <v>#REF!</v>
      </c>
      <c r="AI17" t="e">
        <f>AND(#REF!,"AAAAACPt3yI=")</f>
        <v>#REF!</v>
      </c>
      <c r="AJ17" t="e">
        <f>AND(#REF!,"AAAAACPt3yM=")</f>
        <v>#REF!</v>
      </c>
      <c r="AK17" t="e">
        <f>AND(#REF!,"AAAAACPt3yQ=")</f>
        <v>#REF!</v>
      </c>
      <c r="AL17" t="e">
        <f>AND(#REF!,"AAAAACPt3yU=")</f>
        <v>#REF!</v>
      </c>
      <c r="AM17" t="e">
        <f>AND(#REF!,"AAAAACPt3yY=")</f>
        <v>#REF!</v>
      </c>
      <c r="AN17" t="e">
        <f>AND(#REF!,"AAAAACPt3yc=")</f>
        <v>#REF!</v>
      </c>
      <c r="AO17" t="e">
        <f>AND(#REF!,"AAAAACPt3yg=")</f>
        <v>#REF!</v>
      </c>
      <c r="AP17" t="e">
        <f>AND(#REF!,"AAAAACPt3yk=")</f>
        <v>#REF!</v>
      </c>
      <c r="AQ17" t="e">
        <f>AND(#REF!,"AAAAACPt3yo=")</f>
        <v>#REF!</v>
      </c>
      <c r="AR17" t="e">
        <f>AND(#REF!,"AAAAACPt3ys=")</f>
        <v>#REF!</v>
      </c>
      <c r="AS17" t="e">
        <f>AND(#REF!,"AAAAACPt3yw=")</f>
        <v>#REF!</v>
      </c>
      <c r="AT17" t="e">
        <f>AND(#REF!,"AAAAACPt3y0=")</f>
        <v>#REF!</v>
      </c>
      <c r="AU17" t="e">
        <f>AND(#REF!,"AAAAACPt3y4=")</f>
        <v>#REF!</v>
      </c>
      <c r="AV17" t="e">
        <f>AND(#REF!,"AAAAACPt3y8=")</f>
        <v>#REF!</v>
      </c>
      <c r="AW17" t="e">
        <f>AND(#REF!,"AAAAACPt3zA=")</f>
        <v>#REF!</v>
      </c>
      <c r="AX17" t="e">
        <f>AND(#REF!,"AAAAACPt3zE=")</f>
        <v>#REF!</v>
      </c>
      <c r="AY17" t="e">
        <f>AND(#REF!,"AAAAACPt3zI=")</f>
        <v>#REF!</v>
      </c>
      <c r="AZ17" t="e">
        <f>AND(#REF!,"AAAAACPt3zM=")</f>
        <v>#REF!</v>
      </c>
      <c r="BA17" t="e">
        <f>AND(#REF!,"AAAAACPt3zQ=")</f>
        <v>#REF!</v>
      </c>
      <c r="BB17" t="e">
        <f>AND(#REF!,"AAAAACPt3zU=")</f>
        <v>#REF!</v>
      </c>
      <c r="BC17" t="e">
        <f>AND(#REF!,"AAAAACPt3zY=")</f>
        <v>#REF!</v>
      </c>
      <c r="BD17" t="e">
        <f>AND(#REF!,"AAAAACPt3zc=")</f>
        <v>#REF!</v>
      </c>
      <c r="BE17" t="e">
        <f>AND(#REF!,"AAAAACPt3zg=")</f>
        <v>#REF!</v>
      </c>
      <c r="BF17" t="e">
        <f>IF(#REF!,"AAAAACPt3zk=",0)</f>
        <v>#REF!</v>
      </c>
      <c r="BG17" t="e">
        <f>AND(#REF!,"AAAAACPt3zo=")</f>
        <v>#REF!</v>
      </c>
      <c r="BH17" t="e">
        <f>AND(#REF!,"AAAAACPt3zs=")</f>
        <v>#REF!</v>
      </c>
      <c r="BI17" t="e">
        <f>AND(#REF!,"AAAAACPt3zw=")</f>
        <v>#REF!</v>
      </c>
      <c r="BJ17" t="e">
        <f>AND(#REF!,"AAAAACPt3z0=")</f>
        <v>#REF!</v>
      </c>
      <c r="BK17" t="e">
        <f>AND(#REF!,"AAAAACPt3z4=")</f>
        <v>#REF!</v>
      </c>
      <c r="BL17" t="e">
        <f>AND(#REF!,"AAAAACPt3z8=")</f>
        <v>#REF!</v>
      </c>
      <c r="BM17" t="e">
        <f>AND(#REF!,"AAAAACPt30A=")</f>
        <v>#REF!</v>
      </c>
      <c r="BN17" t="e">
        <f>AND(#REF!,"AAAAACPt30E=")</f>
        <v>#REF!</v>
      </c>
      <c r="BO17" t="e">
        <f>AND(#REF!,"AAAAACPt30I=")</f>
        <v>#REF!</v>
      </c>
      <c r="BP17" t="e">
        <f>AND(#REF!,"AAAAACPt30M=")</f>
        <v>#REF!</v>
      </c>
      <c r="BQ17" t="e">
        <f>AND(#REF!,"AAAAACPt30Q=")</f>
        <v>#REF!</v>
      </c>
      <c r="BR17" t="e">
        <f>AND(#REF!,"AAAAACPt30U=")</f>
        <v>#REF!</v>
      </c>
      <c r="BS17" t="e">
        <f>AND(#REF!,"AAAAACPt30Y=")</f>
        <v>#REF!</v>
      </c>
      <c r="BT17" t="e">
        <f>AND(#REF!,"AAAAACPt30c=")</f>
        <v>#REF!</v>
      </c>
      <c r="BU17" t="e">
        <f>AND(#REF!,"AAAAACPt30g=")</f>
        <v>#REF!</v>
      </c>
      <c r="BV17" t="e">
        <f>AND(#REF!,"AAAAACPt30k=")</f>
        <v>#REF!</v>
      </c>
      <c r="BW17" t="e">
        <f>AND(#REF!,"AAAAACPt30o=")</f>
        <v>#REF!</v>
      </c>
      <c r="BX17" t="e">
        <f>AND(#REF!,"AAAAACPt30s=")</f>
        <v>#REF!</v>
      </c>
      <c r="BY17" t="e">
        <f>AND(#REF!,"AAAAACPt30w=")</f>
        <v>#REF!</v>
      </c>
      <c r="BZ17" t="e">
        <f>AND(#REF!,"AAAAACPt300=")</f>
        <v>#REF!</v>
      </c>
      <c r="CA17" t="e">
        <f>AND(#REF!,"AAAAACPt304=")</f>
        <v>#REF!</v>
      </c>
      <c r="CB17" t="e">
        <f>AND(#REF!,"AAAAACPt308=")</f>
        <v>#REF!</v>
      </c>
      <c r="CC17" t="e">
        <f>AND(#REF!,"AAAAACPt31A=")</f>
        <v>#REF!</v>
      </c>
      <c r="CD17" t="e">
        <f>AND(#REF!,"AAAAACPt31E=")</f>
        <v>#REF!</v>
      </c>
      <c r="CE17" t="e">
        <f>AND(#REF!,"AAAAACPt31I=")</f>
        <v>#REF!</v>
      </c>
      <c r="CF17" t="e">
        <f>AND(#REF!,"AAAAACPt31M=")</f>
        <v>#REF!</v>
      </c>
      <c r="CG17" t="e">
        <f>AND(#REF!,"AAAAACPt31Q=")</f>
        <v>#REF!</v>
      </c>
      <c r="CH17" t="e">
        <f>AND(#REF!,"AAAAACPt31U=")</f>
        <v>#REF!</v>
      </c>
      <c r="CI17" t="e">
        <f>IF(#REF!,"AAAAACPt31Y=",0)</f>
        <v>#REF!</v>
      </c>
      <c r="CJ17" t="e">
        <f>AND(#REF!,"AAAAACPt31c=")</f>
        <v>#REF!</v>
      </c>
      <c r="CK17" t="e">
        <f>AND(#REF!,"AAAAACPt31g=")</f>
        <v>#REF!</v>
      </c>
      <c r="CL17" t="e">
        <f>AND(#REF!,"AAAAACPt31k=")</f>
        <v>#REF!</v>
      </c>
      <c r="CM17" t="e">
        <f>AND(#REF!,"AAAAACPt31o=")</f>
        <v>#REF!</v>
      </c>
      <c r="CN17" t="e">
        <f>AND(#REF!,"AAAAACPt31s=")</f>
        <v>#REF!</v>
      </c>
      <c r="CO17" t="e">
        <f>AND(#REF!,"AAAAACPt31w=")</f>
        <v>#REF!</v>
      </c>
      <c r="CP17" t="e">
        <f>AND(#REF!,"AAAAACPt310=")</f>
        <v>#REF!</v>
      </c>
      <c r="CQ17" t="e">
        <f>AND(#REF!,"AAAAACPt314=")</f>
        <v>#REF!</v>
      </c>
      <c r="CR17" t="e">
        <f>AND(#REF!,"AAAAACPt318=")</f>
        <v>#REF!</v>
      </c>
      <c r="CS17" t="e">
        <f>AND(#REF!,"AAAAACPt32A=")</f>
        <v>#REF!</v>
      </c>
      <c r="CT17" t="e">
        <f>AND(#REF!,"AAAAACPt32E=")</f>
        <v>#REF!</v>
      </c>
      <c r="CU17" t="e">
        <f>AND(#REF!,"AAAAACPt32I=")</f>
        <v>#REF!</v>
      </c>
      <c r="CV17" t="e">
        <f>AND(#REF!,"AAAAACPt32M=")</f>
        <v>#REF!</v>
      </c>
      <c r="CW17" t="e">
        <f>AND(#REF!,"AAAAACPt32Q=")</f>
        <v>#REF!</v>
      </c>
      <c r="CX17" t="e">
        <f>AND(#REF!,"AAAAACPt32U=")</f>
        <v>#REF!</v>
      </c>
      <c r="CY17" t="e">
        <f>AND(#REF!,"AAAAACPt32Y=")</f>
        <v>#REF!</v>
      </c>
      <c r="CZ17" t="e">
        <f>AND(#REF!,"AAAAACPt32c=")</f>
        <v>#REF!</v>
      </c>
      <c r="DA17" t="e">
        <f>AND(#REF!,"AAAAACPt32g=")</f>
        <v>#REF!</v>
      </c>
      <c r="DB17" t="e">
        <f>AND(#REF!,"AAAAACPt32k=")</f>
        <v>#REF!</v>
      </c>
      <c r="DC17" t="e">
        <f>AND(#REF!,"AAAAACPt32o=")</f>
        <v>#REF!</v>
      </c>
      <c r="DD17" t="e">
        <f>AND(#REF!,"AAAAACPt32s=")</f>
        <v>#REF!</v>
      </c>
      <c r="DE17" t="e">
        <f>AND(#REF!,"AAAAACPt32w=")</f>
        <v>#REF!</v>
      </c>
      <c r="DF17" t="e">
        <f>AND(#REF!,"AAAAACPt320=")</f>
        <v>#REF!</v>
      </c>
      <c r="DG17" t="e">
        <f>AND(#REF!,"AAAAACPt324=")</f>
        <v>#REF!</v>
      </c>
      <c r="DH17" t="e">
        <f>AND(#REF!,"AAAAACPt328=")</f>
        <v>#REF!</v>
      </c>
      <c r="DI17" t="e">
        <f>AND(#REF!,"AAAAACPt33A=")</f>
        <v>#REF!</v>
      </c>
      <c r="DJ17" t="e">
        <f>AND(#REF!,"AAAAACPt33E=")</f>
        <v>#REF!</v>
      </c>
      <c r="DK17" t="e">
        <f>AND(#REF!,"AAAAACPt33I=")</f>
        <v>#REF!</v>
      </c>
      <c r="DL17" t="e">
        <f>IF(#REF!,"AAAAACPt33M=",0)</f>
        <v>#REF!</v>
      </c>
      <c r="DM17" t="e">
        <f>AND(#REF!,"AAAAACPt33Q=")</f>
        <v>#REF!</v>
      </c>
      <c r="DN17" t="e">
        <f>AND(#REF!,"AAAAACPt33U=")</f>
        <v>#REF!</v>
      </c>
      <c r="DO17" t="e">
        <f>AND(#REF!,"AAAAACPt33Y=")</f>
        <v>#REF!</v>
      </c>
      <c r="DP17" t="e">
        <f>AND(#REF!,"AAAAACPt33c=")</f>
        <v>#REF!</v>
      </c>
      <c r="DQ17" t="e">
        <f>AND(#REF!,"AAAAACPt33g=")</f>
        <v>#REF!</v>
      </c>
      <c r="DR17" t="e">
        <f>AND(#REF!,"AAAAACPt33k=")</f>
        <v>#REF!</v>
      </c>
      <c r="DS17" t="e">
        <f>AND(#REF!,"AAAAACPt33o=")</f>
        <v>#REF!</v>
      </c>
      <c r="DT17" t="e">
        <f>AND(#REF!,"AAAAACPt33s=")</f>
        <v>#REF!</v>
      </c>
      <c r="DU17" t="e">
        <f>AND(#REF!,"AAAAACPt33w=")</f>
        <v>#REF!</v>
      </c>
      <c r="DV17" t="e">
        <f>AND(#REF!,"AAAAACPt330=")</f>
        <v>#REF!</v>
      </c>
      <c r="DW17" t="e">
        <f>AND(#REF!,"AAAAACPt334=")</f>
        <v>#REF!</v>
      </c>
      <c r="DX17" t="e">
        <f>AND(#REF!,"AAAAACPt338=")</f>
        <v>#REF!</v>
      </c>
      <c r="DY17" t="e">
        <f>AND(#REF!,"AAAAACPt34A=")</f>
        <v>#REF!</v>
      </c>
      <c r="DZ17" t="e">
        <f>AND(#REF!,"AAAAACPt34E=")</f>
        <v>#REF!</v>
      </c>
      <c r="EA17" t="e">
        <f>AND(#REF!,"AAAAACPt34I=")</f>
        <v>#REF!</v>
      </c>
      <c r="EB17" t="e">
        <f>AND(#REF!,"AAAAACPt34M=")</f>
        <v>#REF!</v>
      </c>
      <c r="EC17" t="e">
        <f>AND(#REF!,"AAAAACPt34Q=")</f>
        <v>#REF!</v>
      </c>
      <c r="ED17" t="e">
        <f>AND(#REF!,"AAAAACPt34U=")</f>
        <v>#REF!</v>
      </c>
      <c r="EE17" t="e">
        <f>AND(#REF!,"AAAAACPt34Y=")</f>
        <v>#REF!</v>
      </c>
      <c r="EF17" t="e">
        <f>AND(#REF!,"AAAAACPt34c=")</f>
        <v>#REF!</v>
      </c>
      <c r="EG17" t="e">
        <f>AND(#REF!,"AAAAACPt34g=")</f>
        <v>#REF!</v>
      </c>
      <c r="EH17" t="e">
        <f>AND(#REF!,"AAAAACPt34k=")</f>
        <v>#REF!</v>
      </c>
      <c r="EI17" t="e">
        <f>AND(#REF!,"AAAAACPt34o=")</f>
        <v>#REF!</v>
      </c>
      <c r="EJ17" t="e">
        <f>AND(#REF!,"AAAAACPt34s=")</f>
        <v>#REF!</v>
      </c>
      <c r="EK17" t="e">
        <f>AND(#REF!,"AAAAACPt34w=")</f>
        <v>#REF!</v>
      </c>
      <c r="EL17" t="e">
        <f>AND(#REF!,"AAAAACPt340=")</f>
        <v>#REF!</v>
      </c>
      <c r="EM17" t="e">
        <f>AND(#REF!,"AAAAACPt344=")</f>
        <v>#REF!</v>
      </c>
      <c r="EN17" t="e">
        <f>AND(#REF!,"AAAAACPt348=")</f>
        <v>#REF!</v>
      </c>
      <c r="EO17" t="e">
        <f>IF(#REF!,"AAAAACPt35A=",0)</f>
        <v>#REF!</v>
      </c>
      <c r="EP17" t="e">
        <f>AND(#REF!,"AAAAACPt35E=")</f>
        <v>#REF!</v>
      </c>
      <c r="EQ17" t="e">
        <f>AND(#REF!,"AAAAACPt35I=")</f>
        <v>#REF!</v>
      </c>
      <c r="ER17" t="e">
        <f>AND(#REF!,"AAAAACPt35M=")</f>
        <v>#REF!</v>
      </c>
      <c r="ES17" t="e">
        <f>AND(#REF!,"AAAAACPt35Q=")</f>
        <v>#REF!</v>
      </c>
      <c r="ET17" t="e">
        <f>AND(#REF!,"AAAAACPt35U=")</f>
        <v>#REF!</v>
      </c>
      <c r="EU17" t="e">
        <f>AND(#REF!,"AAAAACPt35Y=")</f>
        <v>#REF!</v>
      </c>
      <c r="EV17" t="e">
        <f>AND(#REF!,"AAAAACPt35c=")</f>
        <v>#REF!</v>
      </c>
      <c r="EW17" t="e">
        <f>AND(#REF!,"AAAAACPt35g=")</f>
        <v>#REF!</v>
      </c>
      <c r="EX17" t="e">
        <f>AND(#REF!,"AAAAACPt35k=")</f>
        <v>#REF!</v>
      </c>
      <c r="EY17" t="e">
        <f>AND(#REF!,"AAAAACPt35o=")</f>
        <v>#REF!</v>
      </c>
      <c r="EZ17" t="e">
        <f>AND(#REF!,"AAAAACPt35s=")</f>
        <v>#REF!</v>
      </c>
      <c r="FA17" t="e">
        <f>AND(#REF!,"AAAAACPt35w=")</f>
        <v>#REF!</v>
      </c>
      <c r="FB17" t="e">
        <f>AND(#REF!,"AAAAACPt350=")</f>
        <v>#REF!</v>
      </c>
      <c r="FC17" t="e">
        <f>AND(#REF!,"AAAAACPt354=")</f>
        <v>#REF!</v>
      </c>
      <c r="FD17" t="e">
        <f>AND(#REF!,"AAAAACPt358=")</f>
        <v>#REF!</v>
      </c>
      <c r="FE17" t="e">
        <f>AND(#REF!,"AAAAACPt36A=")</f>
        <v>#REF!</v>
      </c>
      <c r="FF17" t="e">
        <f>AND(#REF!,"AAAAACPt36E=")</f>
        <v>#REF!</v>
      </c>
      <c r="FG17" t="e">
        <f>AND(#REF!,"AAAAACPt36I=")</f>
        <v>#REF!</v>
      </c>
      <c r="FH17" t="e">
        <f>AND(#REF!,"AAAAACPt36M=")</f>
        <v>#REF!</v>
      </c>
      <c r="FI17" t="e">
        <f>AND(#REF!,"AAAAACPt36Q=")</f>
        <v>#REF!</v>
      </c>
      <c r="FJ17" t="e">
        <f>AND(#REF!,"AAAAACPt36U=")</f>
        <v>#REF!</v>
      </c>
      <c r="FK17" t="e">
        <f>AND(#REF!,"AAAAACPt36Y=")</f>
        <v>#REF!</v>
      </c>
      <c r="FL17" t="e">
        <f>AND(#REF!,"AAAAACPt36c=")</f>
        <v>#REF!</v>
      </c>
      <c r="FM17" t="e">
        <f>AND(#REF!,"AAAAACPt36g=")</f>
        <v>#REF!</v>
      </c>
      <c r="FN17" t="e">
        <f>AND(#REF!,"AAAAACPt36k=")</f>
        <v>#REF!</v>
      </c>
      <c r="FO17" t="e">
        <f>AND(#REF!,"AAAAACPt36o=")</f>
        <v>#REF!</v>
      </c>
      <c r="FP17" t="e">
        <f>AND(#REF!,"AAAAACPt36s=")</f>
        <v>#REF!</v>
      </c>
      <c r="FQ17" t="e">
        <f>AND(#REF!,"AAAAACPt36w=")</f>
        <v>#REF!</v>
      </c>
      <c r="FR17" t="e">
        <f>IF(#REF!,"AAAAACPt360=",0)</f>
        <v>#REF!</v>
      </c>
      <c r="FS17" t="e">
        <f>AND(#REF!,"AAAAACPt364=")</f>
        <v>#REF!</v>
      </c>
      <c r="FT17" t="e">
        <f>AND(#REF!,"AAAAACPt368=")</f>
        <v>#REF!</v>
      </c>
      <c r="FU17" t="e">
        <f>AND(#REF!,"AAAAACPt37A=")</f>
        <v>#REF!</v>
      </c>
      <c r="FV17" t="e">
        <f>AND(#REF!,"AAAAACPt37E=")</f>
        <v>#REF!</v>
      </c>
      <c r="FW17" t="e">
        <f>AND(#REF!,"AAAAACPt37I=")</f>
        <v>#REF!</v>
      </c>
      <c r="FX17" t="e">
        <f>AND(#REF!,"AAAAACPt37M=")</f>
        <v>#REF!</v>
      </c>
      <c r="FY17" t="e">
        <f>AND(#REF!,"AAAAACPt37Q=")</f>
        <v>#REF!</v>
      </c>
      <c r="FZ17" t="e">
        <f>AND(#REF!,"AAAAACPt37U=")</f>
        <v>#REF!</v>
      </c>
      <c r="GA17" t="e">
        <f>AND(#REF!,"AAAAACPt37Y=")</f>
        <v>#REF!</v>
      </c>
      <c r="GB17" t="e">
        <f>AND(#REF!,"AAAAACPt37c=")</f>
        <v>#REF!</v>
      </c>
      <c r="GC17" t="e">
        <f>AND(#REF!,"AAAAACPt37g=")</f>
        <v>#REF!</v>
      </c>
      <c r="GD17" t="e">
        <f>AND(#REF!,"AAAAACPt37k=")</f>
        <v>#REF!</v>
      </c>
      <c r="GE17" t="e">
        <f>AND(#REF!,"AAAAACPt37o=")</f>
        <v>#REF!</v>
      </c>
      <c r="GF17" t="e">
        <f>AND(#REF!,"AAAAACPt37s=")</f>
        <v>#REF!</v>
      </c>
      <c r="GG17" t="e">
        <f>AND(#REF!,"AAAAACPt37w=")</f>
        <v>#REF!</v>
      </c>
      <c r="GH17" t="e">
        <f>AND(#REF!,"AAAAACPt370=")</f>
        <v>#REF!</v>
      </c>
      <c r="GI17" t="e">
        <f>AND(#REF!,"AAAAACPt374=")</f>
        <v>#REF!</v>
      </c>
      <c r="GJ17" t="e">
        <f>AND(#REF!,"AAAAACPt378=")</f>
        <v>#REF!</v>
      </c>
      <c r="GK17" t="e">
        <f>AND(#REF!,"AAAAACPt38A=")</f>
        <v>#REF!</v>
      </c>
      <c r="GL17" t="e">
        <f>AND(#REF!,"AAAAACPt38E=")</f>
        <v>#REF!</v>
      </c>
      <c r="GM17" t="e">
        <f>AND(#REF!,"AAAAACPt38I=")</f>
        <v>#REF!</v>
      </c>
      <c r="GN17" t="e">
        <f>AND(#REF!,"AAAAACPt38M=")</f>
        <v>#REF!</v>
      </c>
      <c r="GO17" t="e">
        <f>AND(#REF!,"AAAAACPt38Q=")</f>
        <v>#REF!</v>
      </c>
      <c r="GP17" t="e">
        <f>AND(#REF!,"AAAAACPt38U=")</f>
        <v>#REF!</v>
      </c>
      <c r="GQ17" t="e">
        <f>AND(#REF!,"AAAAACPt38Y=")</f>
        <v>#REF!</v>
      </c>
      <c r="GR17" t="e">
        <f>AND(#REF!,"AAAAACPt38c=")</f>
        <v>#REF!</v>
      </c>
      <c r="GS17" t="e">
        <f>AND(#REF!,"AAAAACPt38g=")</f>
        <v>#REF!</v>
      </c>
      <c r="GT17" t="e">
        <f>AND(#REF!,"AAAAACPt38k=")</f>
        <v>#REF!</v>
      </c>
      <c r="GU17" t="e">
        <f>IF(#REF!,"AAAAACPt38o=",0)</f>
        <v>#REF!</v>
      </c>
      <c r="GV17" t="e">
        <f>AND(#REF!,"AAAAACPt38s=")</f>
        <v>#REF!</v>
      </c>
      <c r="GW17" t="e">
        <f>AND(#REF!,"AAAAACPt38w=")</f>
        <v>#REF!</v>
      </c>
      <c r="GX17" t="e">
        <f>AND(#REF!,"AAAAACPt380=")</f>
        <v>#REF!</v>
      </c>
      <c r="GY17" t="e">
        <f>AND(#REF!,"AAAAACPt384=")</f>
        <v>#REF!</v>
      </c>
      <c r="GZ17" t="e">
        <f>AND(#REF!,"AAAAACPt388=")</f>
        <v>#REF!</v>
      </c>
      <c r="HA17" t="e">
        <f>AND(#REF!,"AAAAACPt39A=")</f>
        <v>#REF!</v>
      </c>
      <c r="HB17" t="e">
        <f>AND(#REF!,"AAAAACPt39E=")</f>
        <v>#REF!</v>
      </c>
      <c r="HC17" t="e">
        <f>AND(#REF!,"AAAAACPt39I=")</f>
        <v>#REF!</v>
      </c>
      <c r="HD17" t="e">
        <f>AND(#REF!,"AAAAACPt39M=")</f>
        <v>#REF!</v>
      </c>
      <c r="HE17" t="e">
        <f>AND(#REF!,"AAAAACPt39Q=")</f>
        <v>#REF!</v>
      </c>
      <c r="HF17" t="e">
        <f>AND(#REF!,"AAAAACPt39U=")</f>
        <v>#REF!</v>
      </c>
      <c r="HG17" t="e">
        <f>AND(#REF!,"AAAAACPt39Y=")</f>
        <v>#REF!</v>
      </c>
      <c r="HH17" t="e">
        <f>AND(#REF!,"AAAAACPt39c=")</f>
        <v>#REF!</v>
      </c>
      <c r="HI17" t="e">
        <f>AND(#REF!,"AAAAACPt39g=")</f>
        <v>#REF!</v>
      </c>
      <c r="HJ17" t="e">
        <f>AND(#REF!,"AAAAACPt39k=")</f>
        <v>#REF!</v>
      </c>
      <c r="HK17" t="e">
        <f>AND(#REF!,"AAAAACPt39o=")</f>
        <v>#REF!</v>
      </c>
      <c r="HL17" t="e">
        <f>AND(#REF!,"AAAAACPt39s=")</f>
        <v>#REF!</v>
      </c>
      <c r="HM17" t="e">
        <f>AND(#REF!,"AAAAACPt39w=")</f>
        <v>#REF!</v>
      </c>
      <c r="HN17" t="e">
        <f>AND(#REF!,"AAAAACPt390=")</f>
        <v>#REF!</v>
      </c>
      <c r="HO17" t="e">
        <f>AND(#REF!,"AAAAACPt394=")</f>
        <v>#REF!</v>
      </c>
      <c r="HP17" t="e">
        <f>AND(#REF!,"AAAAACPt398=")</f>
        <v>#REF!</v>
      </c>
      <c r="HQ17" t="e">
        <f>AND(#REF!,"AAAAACPt3+A=")</f>
        <v>#REF!</v>
      </c>
      <c r="HR17" t="e">
        <f>AND(#REF!,"AAAAACPt3+E=")</f>
        <v>#REF!</v>
      </c>
      <c r="HS17" t="e">
        <f>AND(#REF!,"AAAAACPt3+I=")</f>
        <v>#REF!</v>
      </c>
      <c r="HT17" t="e">
        <f>AND(#REF!,"AAAAACPt3+M=")</f>
        <v>#REF!</v>
      </c>
      <c r="HU17" t="e">
        <f>AND(#REF!,"AAAAACPt3+Q=")</f>
        <v>#REF!</v>
      </c>
      <c r="HV17" t="e">
        <f>AND(#REF!,"AAAAACPt3+U=")</f>
        <v>#REF!</v>
      </c>
      <c r="HW17" t="e">
        <f>AND(#REF!,"AAAAACPt3+Y=")</f>
        <v>#REF!</v>
      </c>
      <c r="HX17" t="e">
        <f>IF(#REF!,"AAAAACPt3+c=",0)</f>
        <v>#REF!</v>
      </c>
      <c r="HY17" t="e">
        <f>AND(#REF!,"AAAAACPt3+g=")</f>
        <v>#REF!</v>
      </c>
      <c r="HZ17" t="e">
        <f>AND(#REF!,"AAAAACPt3+k=")</f>
        <v>#REF!</v>
      </c>
      <c r="IA17" t="e">
        <f>AND(#REF!,"AAAAACPt3+o=")</f>
        <v>#REF!</v>
      </c>
      <c r="IB17" t="e">
        <f>AND(#REF!,"AAAAACPt3+s=")</f>
        <v>#REF!</v>
      </c>
      <c r="IC17" t="e">
        <f>AND(#REF!,"AAAAACPt3+w=")</f>
        <v>#REF!</v>
      </c>
      <c r="ID17" t="e">
        <f>AND(#REF!,"AAAAACPt3+0=")</f>
        <v>#REF!</v>
      </c>
      <c r="IE17" t="e">
        <f>AND(#REF!,"AAAAACPt3+4=")</f>
        <v>#REF!</v>
      </c>
      <c r="IF17" t="e">
        <f>AND(#REF!,"AAAAACPt3+8=")</f>
        <v>#REF!</v>
      </c>
      <c r="IG17" t="e">
        <f>AND(#REF!,"AAAAACPt3/A=")</f>
        <v>#REF!</v>
      </c>
      <c r="IH17" t="e">
        <f>AND(#REF!,"AAAAACPt3/E=")</f>
        <v>#REF!</v>
      </c>
      <c r="II17" t="e">
        <f>AND(#REF!,"AAAAACPt3/I=")</f>
        <v>#REF!</v>
      </c>
      <c r="IJ17" t="e">
        <f>AND(#REF!,"AAAAACPt3/M=")</f>
        <v>#REF!</v>
      </c>
      <c r="IK17" t="e">
        <f>AND(#REF!,"AAAAACPt3/Q=")</f>
        <v>#REF!</v>
      </c>
      <c r="IL17" t="e">
        <f>AND(#REF!,"AAAAACPt3/U=")</f>
        <v>#REF!</v>
      </c>
      <c r="IM17" t="e">
        <f>AND(#REF!,"AAAAACPt3/Y=")</f>
        <v>#REF!</v>
      </c>
      <c r="IN17" t="e">
        <f>AND(#REF!,"AAAAACPt3/c=")</f>
        <v>#REF!</v>
      </c>
      <c r="IO17" t="e">
        <f>AND(#REF!,"AAAAACPt3/g=")</f>
        <v>#REF!</v>
      </c>
      <c r="IP17" t="e">
        <f>AND(#REF!,"AAAAACPt3/k=")</f>
        <v>#REF!</v>
      </c>
      <c r="IQ17" t="e">
        <f>AND(#REF!,"AAAAACPt3/o=")</f>
        <v>#REF!</v>
      </c>
      <c r="IR17" t="e">
        <f>AND(#REF!,"AAAAACPt3/s=")</f>
        <v>#REF!</v>
      </c>
      <c r="IS17" t="e">
        <f>AND(#REF!,"AAAAACPt3/w=")</f>
        <v>#REF!</v>
      </c>
      <c r="IT17" t="e">
        <f>AND(#REF!,"AAAAACPt3/0=")</f>
        <v>#REF!</v>
      </c>
      <c r="IU17" t="e">
        <f>AND(#REF!,"AAAAACPt3/4=")</f>
        <v>#REF!</v>
      </c>
      <c r="IV17" t="e">
        <f>AND(#REF!,"AAAAACPt3/8=")</f>
        <v>#REF!</v>
      </c>
    </row>
    <row r="18" spans="1:256" x14ac:dyDescent="0.2">
      <c r="A18" t="e">
        <f>AND(#REF!,"AAAAAH/f+wA=")</f>
        <v>#REF!</v>
      </c>
      <c r="B18" t="e">
        <f>AND(#REF!,"AAAAAH/f+wE=")</f>
        <v>#REF!</v>
      </c>
      <c r="C18" t="e">
        <f>AND(#REF!,"AAAAAH/f+wI=")</f>
        <v>#REF!</v>
      </c>
      <c r="D18" t="e">
        <f>AND(#REF!,"AAAAAH/f+wM=")</f>
        <v>#REF!</v>
      </c>
      <c r="E18" t="e">
        <f>IF(#REF!,"AAAAAH/f+wQ=",0)</f>
        <v>#REF!</v>
      </c>
      <c r="F18" t="e">
        <f>AND(#REF!,"AAAAAH/f+wU=")</f>
        <v>#REF!</v>
      </c>
      <c r="G18" t="e">
        <f>AND(#REF!,"AAAAAH/f+wY=")</f>
        <v>#REF!</v>
      </c>
      <c r="H18" t="e">
        <f>AND(#REF!,"AAAAAH/f+wc=")</f>
        <v>#REF!</v>
      </c>
      <c r="I18" t="e">
        <f>AND(#REF!,"AAAAAH/f+wg=")</f>
        <v>#REF!</v>
      </c>
      <c r="J18" t="e">
        <f>AND(#REF!,"AAAAAH/f+wk=")</f>
        <v>#REF!</v>
      </c>
      <c r="K18" t="e">
        <f>AND(#REF!,"AAAAAH/f+wo=")</f>
        <v>#REF!</v>
      </c>
      <c r="L18" t="e">
        <f>AND(#REF!,"AAAAAH/f+ws=")</f>
        <v>#REF!</v>
      </c>
      <c r="M18" t="e">
        <f>AND(#REF!,"AAAAAH/f+ww=")</f>
        <v>#REF!</v>
      </c>
      <c r="N18" t="e">
        <f>AND(#REF!,"AAAAAH/f+w0=")</f>
        <v>#REF!</v>
      </c>
      <c r="O18" t="e">
        <f>AND(#REF!,"AAAAAH/f+w4=")</f>
        <v>#REF!</v>
      </c>
      <c r="P18" t="e">
        <f>AND(#REF!,"AAAAAH/f+w8=")</f>
        <v>#REF!</v>
      </c>
      <c r="Q18" t="e">
        <f>AND(#REF!,"AAAAAH/f+xA=")</f>
        <v>#REF!</v>
      </c>
      <c r="R18" t="e">
        <f>AND(#REF!,"AAAAAH/f+xE=")</f>
        <v>#REF!</v>
      </c>
      <c r="S18" t="e">
        <f>AND(#REF!,"AAAAAH/f+xI=")</f>
        <v>#REF!</v>
      </c>
      <c r="T18" t="e">
        <f>AND(#REF!,"AAAAAH/f+xM=")</f>
        <v>#REF!</v>
      </c>
      <c r="U18" t="e">
        <f>AND(#REF!,"AAAAAH/f+xQ=")</f>
        <v>#REF!</v>
      </c>
      <c r="V18" t="e">
        <f>AND(#REF!,"AAAAAH/f+xU=")</f>
        <v>#REF!</v>
      </c>
      <c r="W18" t="e">
        <f>AND(#REF!,"AAAAAH/f+xY=")</f>
        <v>#REF!</v>
      </c>
      <c r="X18" t="e">
        <f>AND(#REF!,"AAAAAH/f+xc=")</f>
        <v>#REF!</v>
      </c>
      <c r="Y18" t="e">
        <f>AND(#REF!,"AAAAAH/f+xg=")</f>
        <v>#REF!</v>
      </c>
      <c r="Z18" t="e">
        <f>AND(#REF!,"AAAAAH/f+xk=")</f>
        <v>#REF!</v>
      </c>
      <c r="AA18" t="e">
        <f>AND(#REF!,"AAAAAH/f+xo=")</f>
        <v>#REF!</v>
      </c>
      <c r="AB18" t="e">
        <f>AND(#REF!,"AAAAAH/f+xs=")</f>
        <v>#REF!</v>
      </c>
      <c r="AC18" t="e">
        <f>AND(#REF!,"AAAAAH/f+xw=")</f>
        <v>#REF!</v>
      </c>
      <c r="AD18" t="e">
        <f>AND(#REF!,"AAAAAH/f+x0=")</f>
        <v>#REF!</v>
      </c>
      <c r="AE18" t="e">
        <f>AND(#REF!,"AAAAAH/f+x4=")</f>
        <v>#REF!</v>
      </c>
      <c r="AF18" t="e">
        <f>AND(#REF!,"AAAAAH/f+x8=")</f>
        <v>#REF!</v>
      </c>
      <c r="AG18" t="e">
        <f>AND(#REF!,"AAAAAH/f+yA=")</f>
        <v>#REF!</v>
      </c>
      <c r="AH18" t="e">
        <f>IF(#REF!,"AAAAAH/f+yE=",0)</f>
        <v>#REF!</v>
      </c>
      <c r="AI18" t="e">
        <f>AND(#REF!,"AAAAAH/f+yI=")</f>
        <v>#REF!</v>
      </c>
      <c r="AJ18" t="e">
        <f>AND(#REF!,"AAAAAH/f+yM=")</f>
        <v>#REF!</v>
      </c>
      <c r="AK18" t="e">
        <f>AND(#REF!,"AAAAAH/f+yQ=")</f>
        <v>#REF!</v>
      </c>
      <c r="AL18" t="e">
        <f>AND(#REF!,"AAAAAH/f+yU=")</f>
        <v>#REF!</v>
      </c>
      <c r="AM18" t="e">
        <f>AND(#REF!,"AAAAAH/f+yY=")</f>
        <v>#REF!</v>
      </c>
      <c r="AN18" t="e">
        <f>AND(#REF!,"AAAAAH/f+yc=")</f>
        <v>#REF!</v>
      </c>
      <c r="AO18" t="e">
        <f>AND(#REF!,"AAAAAH/f+yg=")</f>
        <v>#REF!</v>
      </c>
      <c r="AP18" t="e">
        <f>AND(#REF!,"AAAAAH/f+yk=")</f>
        <v>#REF!</v>
      </c>
      <c r="AQ18" t="e">
        <f>AND(#REF!,"AAAAAH/f+yo=")</f>
        <v>#REF!</v>
      </c>
      <c r="AR18" t="e">
        <f>AND(#REF!,"AAAAAH/f+ys=")</f>
        <v>#REF!</v>
      </c>
      <c r="AS18" t="e">
        <f>AND(#REF!,"AAAAAH/f+yw=")</f>
        <v>#REF!</v>
      </c>
      <c r="AT18" t="e">
        <f>AND(#REF!,"AAAAAH/f+y0=")</f>
        <v>#REF!</v>
      </c>
      <c r="AU18" t="e">
        <f>AND(#REF!,"AAAAAH/f+y4=")</f>
        <v>#REF!</v>
      </c>
      <c r="AV18" t="e">
        <f>AND(#REF!,"AAAAAH/f+y8=")</f>
        <v>#REF!</v>
      </c>
      <c r="AW18" t="e">
        <f>AND(#REF!,"AAAAAH/f+zA=")</f>
        <v>#REF!</v>
      </c>
      <c r="AX18" t="e">
        <f>AND(#REF!,"AAAAAH/f+zE=")</f>
        <v>#REF!</v>
      </c>
      <c r="AY18" t="e">
        <f>AND(#REF!,"AAAAAH/f+zI=")</f>
        <v>#REF!</v>
      </c>
      <c r="AZ18" t="e">
        <f>AND(#REF!,"AAAAAH/f+zM=")</f>
        <v>#REF!</v>
      </c>
      <c r="BA18" t="e">
        <f>AND(#REF!,"AAAAAH/f+zQ=")</f>
        <v>#REF!</v>
      </c>
      <c r="BB18" t="e">
        <f>AND(#REF!,"AAAAAH/f+zU=")</f>
        <v>#REF!</v>
      </c>
      <c r="BC18" t="e">
        <f>AND(#REF!,"AAAAAH/f+zY=")</f>
        <v>#REF!</v>
      </c>
      <c r="BD18" t="e">
        <f>AND(#REF!,"AAAAAH/f+zc=")</f>
        <v>#REF!</v>
      </c>
      <c r="BE18" t="e">
        <f>AND(#REF!,"AAAAAH/f+zg=")</f>
        <v>#REF!</v>
      </c>
      <c r="BF18" t="e">
        <f>AND(#REF!,"AAAAAH/f+zk=")</f>
        <v>#REF!</v>
      </c>
      <c r="BG18" t="e">
        <f>AND(#REF!,"AAAAAH/f+zo=")</f>
        <v>#REF!</v>
      </c>
      <c r="BH18" t="e">
        <f>AND(#REF!,"AAAAAH/f+zs=")</f>
        <v>#REF!</v>
      </c>
      <c r="BI18" t="e">
        <f>AND(#REF!,"AAAAAH/f+zw=")</f>
        <v>#REF!</v>
      </c>
      <c r="BJ18" t="e">
        <f>AND(#REF!,"AAAAAH/f+z0=")</f>
        <v>#REF!</v>
      </c>
      <c r="BK18" t="e">
        <f>IF(#REF!,"AAAAAH/f+z4=",0)</f>
        <v>#REF!</v>
      </c>
      <c r="BL18" t="e">
        <f>AND(#REF!,"AAAAAH/f+z8=")</f>
        <v>#REF!</v>
      </c>
      <c r="BM18" t="e">
        <f>AND(#REF!,"AAAAAH/f+0A=")</f>
        <v>#REF!</v>
      </c>
      <c r="BN18" t="e">
        <f>AND(#REF!,"AAAAAH/f+0E=")</f>
        <v>#REF!</v>
      </c>
      <c r="BO18" t="e">
        <f>AND(#REF!,"AAAAAH/f+0I=")</f>
        <v>#REF!</v>
      </c>
      <c r="BP18" t="e">
        <f>AND(#REF!,"AAAAAH/f+0M=")</f>
        <v>#REF!</v>
      </c>
      <c r="BQ18" t="e">
        <f>AND(#REF!,"AAAAAH/f+0Q=")</f>
        <v>#REF!</v>
      </c>
      <c r="BR18" t="e">
        <f>AND(#REF!,"AAAAAH/f+0U=")</f>
        <v>#REF!</v>
      </c>
      <c r="BS18" t="e">
        <f>AND(#REF!,"AAAAAH/f+0Y=")</f>
        <v>#REF!</v>
      </c>
      <c r="BT18" t="e">
        <f>AND(#REF!,"AAAAAH/f+0c=")</f>
        <v>#REF!</v>
      </c>
      <c r="BU18" t="e">
        <f>AND(#REF!,"AAAAAH/f+0g=")</f>
        <v>#REF!</v>
      </c>
      <c r="BV18" t="e">
        <f>AND(#REF!,"AAAAAH/f+0k=")</f>
        <v>#REF!</v>
      </c>
      <c r="BW18" t="e">
        <f>AND(#REF!,"AAAAAH/f+0o=")</f>
        <v>#REF!</v>
      </c>
      <c r="BX18" t="e">
        <f>AND(#REF!,"AAAAAH/f+0s=")</f>
        <v>#REF!</v>
      </c>
      <c r="BY18" t="e">
        <f>AND(#REF!,"AAAAAH/f+0w=")</f>
        <v>#REF!</v>
      </c>
      <c r="BZ18" t="e">
        <f>AND(#REF!,"AAAAAH/f+00=")</f>
        <v>#REF!</v>
      </c>
      <c r="CA18" t="e">
        <f>AND(#REF!,"AAAAAH/f+04=")</f>
        <v>#REF!</v>
      </c>
      <c r="CB18" t="e">
        <f>AND(#REF!,"AAAAAH/f+08=")</f>
        <v>#REF!</v>
      </c>
      <c r="CC18" t="e">
        <f>AND(#REF!,"AAAAAH/f+1A=")</f>
        <v>#REF!</v>
      </c>
      <c r="CD18" t="e">
        <f>AND(#REF!,"AAAAAH/f+1E=")</f>
        <v>#REF!</v>
      </c>
      <c r="CE18" t="e">
        <f>AND(#REF!,"AAAAAH/f+1I=")</f>
        <v>#REF!</v>
      </c>
      <c r="CF18" t="e">
        <f>AND(#REF!,"AAAAAH/f+1M=")</f>
        <v>#REF!</v>
      </c>
      <c r="CG18" t="e">
        <f>AND(#REF!,"AAAAAH/f+1Q=")</f>
        <v>#REF!</v>
      </c>
      <c r="CH18" t="e">
        <f>AND(#REF!,"AAAAAH/f+1U=")</f>
        <v>#REF!</v>
      </c>
      <c r="CI18" t="e">
        <f>AND(#REF!,"AAAAAH/f+1Y=")</f>
        <v>#REF!</v>
      </c>
      <c r="CJ18" t="e">
        <f>AND(#REF!,"AAAAAH/f+1c=")</f>
        <v>#REF!</v>
      </c>
      <c r="CK18" t="e">
        <f>AND(#REF!,"AAAAAH/f+1g=")</f>
        <v>#REF!</v>
      </c>
      <c r="CL18" t="e">
        <f>AND(#REF!,"AAAAAH/f+1k=")</f>
        <v>#REF!</v>
      </c>
      <c r="CM18" t="e">
        <f>AND(#REF!,"AAAAAH/f+1o=")</f>
        <v>#REF!</v>
      </c>
      <c r="CN18" t="e">
        <f>IF(#REF!,"AAAAAH/f+1s=",0)</f>
        <v>#REF!</v>
      </c>
      <c r="CO18" t="e">
        <f>AND(#REF!,"AAAAAH/f+1w=")</f>
        <v>#REF!</v>
      </c>
      <c r="CP18" t="e">
        <f>AND(#REF!,"AAAAAH/f+10=")</f>
        <v>#REF!</v>
      </c>
      <c r="CQ18" t="e">
        <f>AND(#REF!,"AAAAAH/f+14=")</f>
        <v>#REF!</v>
      </c>
      <c r="CR18" t="e">
        <f>AND(#REF!,"AAAAAH/f+18=")</f>
        <v>#REF!</v>
      </c>
      <c r="CS18" t="e">
        <f>AND(#REF!,"AAAAAH/f+2A=")</f>
        <v>#REF!</v>
      </c>
      <c r="CT18" t="e">
        <f>AND(#REF!,"AAAAAH/f+2E=")</f>
        <v>#REF!</v>
      </c>
      <c r="CU18" t="e">
        <f>AND(#REF!,"AAAAAH/f+2I=")</f>
        <v>#REF!</v>
      </c>
      <c r="CV18" t="e">
        <f>AND(#REF!,"AAAAAH/f+2M=")</f>
        <v>#REF!</v>
      </c>
      <c r="CW18" t="e">
        <f>AND(#REF!,"AAAAAH/f+2Q=")</f>
        <v>#REF!</v>
      </c>
      <c r="CX18" t="e">
        <f>AND(#REF!,"AAAAAH/f+2U=")</f>
        <v>#REF!</v>
      </c>
      <c r="CY18" t="e">
        <f>AND(#REF!,"AAAAAH/f+2Y=")</f>
        <v>#REF!</v>
      </c>
      <c r="CZ18" t="e">
        <f>AND(#REF!,"AAAAAH/f+2c=")</f>
        <v>#REF!</v>
      </c>
      <c r="DA18" t="e">
        <f>AND(#REF!,"AAAAAH/f+2g=")</f>
        <v>#REF!</v>
      </c>
      <c r="DB18" t="e">
        <f>AND(#REF!,"AAAAAH/f+2k=")</f>
        <v>#REF!</v>
      </c>
      <c r="DC18" t="e">
        <f>AND(#REF!,"AAAAAH/f+2o=")</f>
        <v>#REF!</v>
      </c>
      <c r="DD18" t="e">
        <f>AND(#REF!,"AAAAAH/f+2s=")</f>
        <v>#REF!</v>
      </c>
      <c r="DE18" t="e">
        <f>AND(#REF!,"AAAAAH/f+2w=")</f>
        <v>#REF!</v>
      </c>
      <c r="DF18" t="e">
        <f>AND(#REF!,"AAAAAH/f+20=")</f>
        <v>#REF!</v>
      </c>
      <c r="DG18" t="e">
        <f>AND(#REF!,"AAAAAH/f+24=")</f>
        <v>#REF!</v>
      </c>
      <c r="DH18" t="e">
        <f>AND(#REF!,"AAAAAH/f+28=")</f>
        <v>#REF!</v>
      </c>
      <c r="DI18" t="e">
        <f>AND(#REF!,"AAAAAH/f+3A=")</f>
        <v>#REF!</v>
      </c>
      <c r="DJ18" t="e">
        <f>AND(#REF!,"AAAAAH/f+3E=")</f>
        <v>#REF!</v>
      </c>
      <c r="DK18" t="e">
        <f>AND(#REF!,"AAAAAH/f+3I=")</f>
        <v>#REF!</v>
      </c>
      <c r="DL18" t="e">
        <f>AND(#REF!,"AAAAAH/f+3M=")</f>
        <v>#REF!</v>
      </c>
      <c r="DM18" t="e">
        <f>AND(#REF!,"AAAAAH/f+3Q=")</f>
        <v>#REF!</v>
      </c>
      <c r="DN18" t="e">
        <f>AND(#REF!,"AAAAAH/f+3U=")</f>
        <v>#REF!</v>
      </c>
      <c r="DO18" t="e">
        <f>AND(#REF!,"AAAAAH/f+3Y=")</f>
        <v>#REF!</v>
      </c>
      <c r="DP18" t="e">
        <f>AND(#REF!,"AAAAAH/f+3c=")</f>
        <v>#REF!</v>
      </c>
      <c r="DQ18" t="e">
        <f>IF(#REF!,"AAAAAH/f+3g=",0)</f>
        <v>#REF!</v>
      </c>
      <c r="DR18" t="e">
        <f>AND(#REF!,"AAAAAH/f+3k=")</f>
        <v>#REF!</v>
      </c>
      <c r="DS18" t="e">
        <f>AND(#REF!,"AAAAAH/f+3o=")</f>
        <v>#REF!</v>
      </c>
      <c r="DT18" t="e">
        <f>AND(#REF!,"AAAAAH/f+3s=")</f>
        <v>#REF!</v>
      </c>
      <c r="DU18" t="e">
        <f>AND(#REF!,"AAAAAH/f+3w=")</f>
        <v>#REF!</v>
      </c>
      <c r="DV18" t="e">
        <f>AND(#REF!,"AAAAAH/f+30=")</f>
        <v>#REF!</v>
      </c>
      <c r="DW18" t="e">
        <f>AND(#REF!,"AAAAAH/f+34=")</f>
        <v>#REF!</v>
      </c>
      <c r="DX18" t="e">
        <f>AND(#REF!,"AAAAAH/f+38=")</f>
        <v>#REF!</v>
      </c>
      <c r="DY18" t="e">
        <f>AND(#REF!,"AAAAAH/f+4A=")</f>
        <v>#REF!</v>
      </c>
      <c r="DZ18" t="e">
        <f>AND(#REF!,"AAAAAH/f+4E=")</f>
        <v>#REF!</v>
      </c>
      <c r="EA18" t="e">
        <f>AND(#REF!,"AAAAAH/f+4I=")</f>
        <v>#REF!</v>
      </c>
      <c r="EB18" t="e">
        <f>AND(#REF!,"AAAAAH/f+4M=")</f>
        <v>#REF!</v>
      </c>
      <c r="EC18" t="e">
        <f>AND(#REF!,"AAAAAH/f+4Q=")</f>
        <v>#REF!</v>
      </c>
      <c r="ED18" t="e">
        <f>AND(#REF!,"AAAAAH/f+4U=")</f>
        <v>#REF!</v>
      </c>
      <c r="EE18" t="e">
        <f>AND(#REF!,"AAAAAH/f+4Y=")</f>
        <v>#REF!</v>
      </c>
      <c r="EF18" t="e">
        <f>AND(#REF!,"AAAAAH/f+4c=")</f>
        <v>#REF!</v>
      </c>
      <c r="EG18" t="e">
        <f>AND(#REF!,"AAAAAH/f+4g=")</f>
        <v>#REF!</v>
      </c>
      <c r="EH18" t="e">
        <f>AND(#REF!,"AAAAAH/f+4k=")</f>
        <v>#REF!</v>
      </c>
      <c r="EI18" t="e">
        <f>AND(#REF!,"AAAAAH/f+4o=")</f>
        <v>#REF!</v>
      </c>
      <c r="EJ18" t="e">
        <f>AND(#REF!,"AAAAAH/f+4s=")</f>
        <v>#REF!</v>
      </c>
      <c r="EK18" t="e">
        <f>AND(#REF!,"AAAAAH/f+4w=")</f>
        <v>#REF!</v>
      </c>
      <c r="EL18" t="e">
        <f>AND(#REF!,"AAAAAH/f+40=")</f>
        <v>#REF!</v>
      </c>
      <c r="EM18" t="e">
        <f>AND(#REF!,"AAAAAH/f+44=")</f>
        <v>#REF!</v>
      </c>
      <c r="EN18" t="e">
        <f>AND(#REF!,"AAAAAH/f+48=")</f>
        <v>#REF!</v>
      </c>
      <c r="EO18" t="e">
        <f>AND(#REF!,"AAAAAH/f+5A=")</f>
        <v>#REF!</v>
      </c>
      <c r="EP18" t="e">
        <f>AND(#REF!,"AAAAAH/f+5E=")</f>
        <v>#REF!</v>
      </c>
      <c r="EQ18" t="e">
        <f>AND(#REF!,"AAAAAH/f+5I=")</f>
        <v>#REF!</v>
      </c>
      <c r="ER18" t="e">
        <f>AND(#REF!,"AAAAAH/f+5M=")</f>
        <v>#REF!</v>
      </c>
      <c r="ES18" t="e">
        <f>AND(#REF!,"AAAAAH/f+5Q=")</f>
        <v>#REF!</v>
      </c>
      <c r="ET18" t="e">
        <f>IF(#REF!,"AAAAAH/f+5U=",0)</f>
        <v>#REF!</v>
      </c>
      <c r="EU18" t="e">
        <f>AND(#REF!,"AAAAAH/f+5Y=")</f>
        <v>#REF!</v>
      </c>
      <c r="EV18" t="e">
        <f>AND(#REF!,"AAAAAH/f+5c=")</f>
        <v>#REF!</v>
      </c>
      <c r="EW18" t="e">
        <f>AND(#REF!,"AAAAAH/f+5g=")</f>
        <v>#REF!</v>
      </c>
      <c r="EX18" t="e">
        <f>AND(#REF!,"AAAAAH/f+5k=")</f>
        <v>#REF!</v>
      </c>
      <c r="EY18" t="e">
        <f>AND(#REF!,"AAAAAH/f+5o=")</f>
        <v>#REF!</v>
      </c>
      <c r="EZ18" t="e">
        <f>AND(#REF!,"AAAAAH/f+5s=")</f>
        <v>#REF!</v>
      </c>
      <c r="FA18" t="e">
        <f>AND(#REF!,"AAAAAH/f+5w=")</f>
        <v>#REF!</v>
      </c>
      <c r="FB18" t="e">
        <f>AND(#REF!,"AAAAAH/f+50=")</f>
        <v>#REF!</v>
      </c>
      <c r="FC18" t="e">
        <f>AND(#REF!,"AAAAAH/f+54=")</f>
        <v>#REF!</v>
      </c>
      <c r="FD18" t="e">
        <f>AND(#REF!,"AAAAAH/f+58=")</f>
        <v>#REF!</v>
      </c>
      <c r="FE18" t="e">
        <f>AND(#REF!,"AAAAAH/f+6A=")</f>
        <v>#REF!</v>
      </c>
      <c r="FF18" t="e">
        <f>AND(#REF!,"AAAAAH/f+6E=")</f>
        <v>#REF!</v>
      </c>
      <c r="FG18" t="e">
        <f>AND(#REF!,"AAAAAH/f+6I=")</f>
        <v>#REF!</v>
      </c>
      <c r="FH18" t="e">
        <f>AND(#REF!,"AAAAAH/f+6M=")</f>
        <v>#REF!</v>
      </c>
      <c r="FI18" t="e">
        <f>AND(#REF!,"AAAAAH/f+6Q=")</f>
        <v>#REF!</v>
      </c>
      <c r="FJ18" t="e">
        <f>AND(#REF!,"AAAAAH/f+6U=")</f>
        <v>#REF!</v>
      </c>
      <c r="FK18" t="e">
        <f>AND(#REF!,"AAAAAH/f+6Y=")</f>
        <v>#REF!</v>
      </c>
      <c r="FL18" t="e">
        <f>AND(#REF!,"AAAAAH/f+6c=")</f>
        <v>#REF!</v>
      </c>
      <c r="FM18" t="e">
        <f>AND(#REF!,"AAAAAH/f+6g=")</f>
        <v>#REF!</v>
      </c>
      <c r="FN18" t="e">
        <f>AND(#REF!,"AAAAAH/f+6k=")</f>
        <v>#REF!</v>
      </c>
      <c r="FO18" t="e">
        <f>AND(#REF!,"AAAAAH/f+6o=")</f>
        <v>#REF!</v>
      </c>
      <c r="FP18" t="e">
        <f>AND(#REF!,"AAAAAH/f+6s=")</f>
        <v>#REF!</v>
      </c>
      <c r="FQ18" t="e">
        <f>AND(#REF!,"AAAAAH/f+6w=")</f>
        <v>#REF!</v>
      </c>
      <c r="FR18" t="e">
        <f>AND(#REF!,"AAAAAH/f+60=")</f>
        <v>#REF!</v>
      </c>
      <c r="FS18" t="e">
        <f>AND(#REF!,"AAAAAH/f+64=")</f>
        <v>#REF!</v>
      </c>
      <c r="FT18" t="e">
        <f>AND(#REF!,"AAAAAH/f+68=")</f>
        <v>#REF!</v>
      </c>
      <c r="FU18" t="e">
        <f>AND(#REF!,"AAAAAH/f+7A=")</f>
        <v>#REF!</v>
      </c>
      <c r="FV18" t="e">
        <f>AND(#REF!,"AAAAAH/f+7E=")</f>
        <v>#REF!</v>
      </c>
      <c r="FW18" t="e">
        <f>IF(#REF!,"AAAAAH/f+7I=",0)</f>
        <v>#REF!</v>
      </c>
      <c r="FX18" t="e">
        <f>AND(#REF!,"AAAAAH/f+7M=")</f>
        <v>#REF!</v>
      </c>
      <c r="FY18" t="e">
        <f>AND(#REF!,"AAAAAH/f+7Q=")</f>
        <v>#REF!</v>
      </c>
      <c r="FZ18" t="e">
        <f>AND(#REF!,"AAAAAH/f+7U=")</f>
        <v>#REF!</v>
      </c>
      <c r="GA18" t="e">
        <f>AND(#REF!,"AAAAAH/f+7Y=")</f>
        <v>#REF!</v>
      </c>
      <c r="GB18" t="e">
        <f>AND(#REF!,"AAAAAH/f+7c=")</f>
        <v>#REF!</v>
      </c>
      <c r="GC18" t="e">
        <f>AND(#REF!,"AAAAAH/f+7g=")</f>
        <v>#REF!</v>
      </c>
      <c r="GD18" t="e">
        <f>AND(#REF!,"AAAAAH/f+7k=")</f>
        <v>#REF!</v>
      </c>
      <c r="GE18" t="e">
        <f>AND(#REF!,"AAAAAH/f+7o=")</f>
        <v>#REF!</v>
      </c>
      <c r="GF18" t="e">
        <f>AND(#REF!,"AAAAAH/f+7s=")</f>
        <v>#REF!</v>
      </c>
      <c r="GG18" t="e">
        <f>AND(#REF!,"AAAAAH/f+7w=")</f>
        <v>#REF!</v>
      </c>
      <c r="GH18" t="e">
        <f>AND(#REF!,"AAAAAH/f+70=")</f>
        <v>#REF!</v>
      </c>
      <c r="GI18" t="e">
        <f>AND(#REF!,"AAAAAH/f+74=")</f>
        <v>#REF!</v>
      </c>
      <c r="GJ18" t="e">
        <f>AND(#REF!,"AAAAAH/f+78=")</f>
        <v>#REF!</v>
      </c>
      <c r="GK18" t="e">
        <f>AND(#REF!,"AAAAAH/f+8A=")</f>
        <v>#REF!</v>
      </c>
      <c r="GL18" t="e">
        <f>AND(#REF!,"AAAAAH/f+8E=")</f>
        <v>#REF!</v>
      </c>
      <c r="GM18" t="e">
        <f>AND(#REF!,"AAAAAH/f+8I=")</f>
        <v>#REF!</v>
      </c>
      <c r="GN18" t="e">
        <f>AND(#REF!,"AAAAAH/f+8M=")</f>
        <v>#REF!</v>
      </c>
      <c r="GO18" t="e">
        <f>AND(#REF!,"AAAAAH/f+8Q=")</f>
        <v>#REF!</v>
      </c>
      <c r="GP18" t="e">
        <f>AND(#REF!,"AAAAAH/f+8U=")</f>
        <v>#REF!</v>
      </c>
      <c r="GQ18" t="e">
        <f>AND(#REF!,"AAAAAH/f+8Y=")</f>
        <v>#REF!</v>
      </c>
      <c r="GR18" t="e">
        <f>AND(#REF!,"AAAAAH/f+8c=")</f>
        <v>#REF!</v>
      </c>
      <c r="GS18" t="e">
        <f>AND(#REF!,"AAAAAH/f+8g=")</f>
        <v>#REF!</v>
      </c>
      <c r="GT18" t="e">
        <f>AND(#REF!,"AAAAAH/f+8k=")</f>
        <v>#REF!</v>
      </c>
      <c r="GU18" t="e">
        <f>AND(#REF!,"AAAAAH/f+8o=")</f>
        <v>#REF!</v>
      </c>
      <c r="GV18" t="e">
        <f>AND(#REF!,"AAAAAH/f+8s=")</f>
        <v>#REF!</v>
      </c>
      <c r="GW18" t="e">
        <f>AND(#REF!,"AAAAAH/f+8w=")</f>
        <v>#REF!</v>
      </c>
      <c r="GX18" t="e">
        <f>AND(#REF!,"AAAAAH/f+80=")</f>
        <v>#REF!</v>
      </c>
      <c r="GY18" t="e">
        <f>AND(#REF!,"AAAAAH/f+84=")</f>
        <v>#REF!</v>
      </c>
      <c r="GZ18" t="e">
        <f>IF(#REF!,"AAAAAH/f+88=",0)</f>
        <v>#REF!</v>
      </c>
      <c r="HA18" t="e">
        <f>AND(#REF!,"AAAAAH/f+9A=")</f>
        <v>#REF!</v>
      </c>
      <c r="HB18" t="e">
        <f>AND(#REF!,"AAAAAH/f+9E=")</f>
        <v>#REF!</v>
      </c>
      <c r="HC18" t="e">
        <f>AND(#REF!,"AAAAAH/f+9I=")</f>
        <v>#REF!</v>
      </c>
      <c r="HD18" t="e">
        <f>AND(#REF!,"AAAAAH/f+9M=")</f>
        <v>#REF!</v>
      </c>
      <c r="HE18" t="e">
        <f>AND(#REF!,"AAAAAH/f+9Q=")</f>
        <v>#REF!</v>
      </c>
      <c r="HF18" t="e">
        <f>AND(#REF!,"AAAAAH/f+9U=")</f>
        <v>#REF!</v>
      </c>
      <c r="HG18" t="e">
        <f>AND(#REF!,"AAAAAH/f+9Y=")</f>
        <v>#REF!</v>
      </c>
      <c r="HH18" t="e">
        <f>AND(#REF!,"AAAAAH/f+9c=")</f>
        <v>#REF!</v>
      </c>
      <c r="HI18" t="e">
        <f>AND(#REF!,"AAAAAH/f+9g=")</f>
        <v>#REF!</v>
      </c>
      <c r="HJ18" t="e">
        <f>AND(#REF!,"AAAAAH/f+9k=")</f>
        <v>#REF!</v>
      </c>
      <c r="HK18" t="e">
        <f>AND(#REF!,"AAAAAH/f+9o=")</f>
        <v>#REF!</v>
      </c>
      <c r="HL18" t="e">
        <f>AND(#REF!,"AAAAAH/f+9s=")</f>
        <v>#REF!</v>
      </c>
      <c r="HM18" t="e">
        <f>AND(#REF!,"AAAAAH/f+9w=")</f>
        <v>#REF!</v>
      </c>
      <c r="HN18" t="e">
        <f>AND(#REF!,"AAAAAH/f+90=")</f>
        <v>#REF!</v>
      </c>
      <c r="HO18" t="e">
        <f>AND(#REF!,"AAAAAH/f+94=")</f>
        <v>#REF!</v>
      </c>
      <c r="HP18" t="e">
        <f>AND(#REF!,"AAAAAH/f+98=")</f>
        <v>#REF!</v>
      </c>
      <c r="HQ18" t="e">
        <f>AND(#REF!,"AAAAAH/f++A=")</f>
        <v>#REF!</v>
      </c>
      <c r="HR18" t="e">
        <f>AND(#REF!,"AAAAAH/f++E=")</f>
        <v>#REF!</v>
      </c>
      <c r="HS18" t="e">
        <f>AND(#REF!,"AAAAAH/f++I=")</f>
        <v>#REF!</v>
      </c>
      <c r="HT18" t="e">
        <f>AND(#REF!,"AAAAAH/f++M=")</f>
        <v>#REF!</v>
      </c>
      <c r="HU18" t="e">
        <f>AND(#REF!,"AAAAAH/f++Q=")</f>
        <v>#REF!</v>
      </c>
      <c r="HV18" t="e">
        <f>AND(#REF!,"AAAAAH/f++U=")</f>
        <v>#REF!</v>
      </c>
      <c r="HW18" t="e">
        <f>AND(#REF!,"AAAAAH/f++Y=")</f>
        <v>#REF!</v>
      </c>
      <c r="HX18" t="e">
        <f>AND(#REF!,"AAAAAH/f++c=")</f>
        <v>#REF!</v>
      </c>
      <c r="HY18" t="e">
        <f>AND(#REF!,"AAAAAH/f++g=")</f>
        <v>#REF!</v>
      </c>
      <c r="HZ18" t="e">
        <f>AND(#REF!,"AAAAAH/f++k=")</f>
        <v>#REF!</v>
      </c>
      <c r="IA18" t="e">
        <f>AND(#REF!,"AAAAAH/f++o=")</f>
        <v>#REF!</v>
      </c>
      <c r="IB18" t="e">
        <f>AND(#REF!,"AAAAAH/f++s=")</f>
        <v>#REF!</v>
      </c>
      <c r="IC18" t="e">
        <f>IF(#REF!,"AAAAAH/f++w=",0)</f>
        <v>#REF!</v>
      </c>
      <c r="ID18" t="e">
        <f>AND(#REF!,"AAAAAH/f++0=")</f>
        <v>#REF!</v>
      </c>
      <c r="IE18" t="e">
        <f>AND(#REF!,"AAAAAH/f++4=")</f>
        <v>#REF!</v>
      </c>
      <c r="IF18" t="e">
        <f>AND(#REF!,"AAAAAH/f++8=")</f>
        <v>#REF!</v>
      </c>
      <c r="IG18" t="e">
        <f>AND(#REF!,"AAAAAH/f+/A=")</f>
        <v>#REF!</v>
      </c>
      <c r="IH18" t="e">
        <f>AND(#REF!,"AAAAAH/f+/E=")</f>
        <v>#REF!</v>
      </c>
      <c r="II18" t="e">
        <f>AND(#REF!,"AAAAAH/f+/I=")</f>
        <v>#REF!</v>
      </c>
      <c r="IJ18" t="e">
        <f>AND(#REF!,"AAAAAH/f+/M=")</f>
        <v>#REF!</v>
      </c>
      <c r="IK18" t="e">
        <f>AND(#REF!,"AAAAAH/f+/Q=")</f>
        <v>#REF!</v>
      </c>
      <c r="IL18" t="e">
        <f>AND(#REF!,"AAAAAH/f+/U=")</f>
        <v>#REF!</v>
      </c>
      <c r="IM18" t="e">
        <f>AND(#REF!,"AAAAAH/f+/Y=")</f>
        <v>#REF!</v>
      </c>
      <c r="IN18" t="e">
        <f>AND(#REF!,"AAAAAH/f+/c=")</f>
        <v>#REF!</v>
      </c>
      <c r="IO18" t="e">
        <f>AND(#REF!,"AAAAAH/f+/g=")</f>
        <v>#REF!</v>
      </c>
      <c r="IP18" t="e">
        <f>AND(#REF!,"AAAAAH/f+/k=")</f>
        <v>#REF!</v>
      </c>
      <c r="IQ18" t="e">
        <f>AND(#REF!,"AAAAAH/f+/o=")</f>
        <v>#REF!</v>
      </c>
      <c r="IR18" t="e">
        <f>AND(#REF!,"AAAAAH/f+/s=")</f>
        <v>#REF!</v>
      </c>
      <c r="IS18" t="e">
        <f>AND(#REF!,"AAAAAH/f+/w=")</f>
        <v>#REF!</v>
      </c>
      <c r="IT18" t="e">
        <f>AND(#REF!,"AAAAAH/f+/0=")</f>
        <v>#REF!</v>
      </c>
      <c r="IU18" t="e">
        <f>AND(#REF!,"AAAAAH/f+/4=")</f>
        <v>#REF!</v>
      </c>
      <c r="IV18" t="e">
        <f>AND(#REF!,"AAAAAH/f+/8=")</f>
        <v>#REF!</v>
      </c>
    </row>
    <row r="19" spans="1:256" x14ac:dyDescent="0.2">
      <c r="A19" t="e">
        <f>AND(#REF!,"AAAAAHxc7wA=")</f>
        <v>#REF!</v>
      </c>
      <c r="B19" t="e">
        <f>AND(#REF!,"AAAAAHxc7wE=")</f>
        <v>#REF!</v>
      </c>
      <c r="C19" t="e">
        <f>AND(#REF!,"AAAAAHxc7wI=")</f>
        <v>#REF!</v>
      </c>
      <c r="D19" t="e">
        <f>AND(#REF!,"AAAAAHxc7wM=")</f>
        <v>#REF!</v>
      </c>
      <c r="E19" t="e">
        <f>AND(#REF!,"AAAAAHxc7wQ=")</f>
        <v>#REF!</v>
      </c>
      <c r="F19" t="e">
        <f>AND(#REF!,"AAAAAHxc7wU=")</f>
        <v>#REF!</v>
      </c>
      <c r="G19" t="e">
        <f>AND(#REF!,"AAAAAHxc7wY=")</f>
        <v>#REF!</v>
      </c>
      <c r="H19" t="e">
        <f>AND(#REF!,"AAAAAHxc7wc=")</f>
        <v>#REF!</v>
      </c>
      <c r="I19" t="e">
        <f>AND(#REF!,"AAAAAHxc7wg=")</f>
        <v>#REF!</v>
      </c>
      <c r="J19" t="e">
        <f>IF(#REF!,"AAAAAHxc7wk=",0)</f>
        <v>#REF!</v>
      </c>
      <c r="K19" t="e">
        <f>AND(#REF!,"AAAAAHxc7wo=")</f>
        <v>#REF!</v>
      </c>
      <c r="L19" t="e">
        <f>AND(#REF!,"AAAAAHxc7ws=")</f>
        <v>#REF!</v>
      </c>
      <c r="M19" t="e">
        <f>AND(#REF!,"AAAAAHxc7ww=")</f>
        <v>#REF!</v>
      </c>
      <c r="N19" t="e">
        <f>AND(#REF!,"AAAAAHxc7w0=")</f>
        <v>#REF!</v>
      </c>
      <c r="O19" t="e">
        <f>AND(#REF!,"AAAAAHxc7w4=")</f>
        <v>#REF!</v>
      </c>
      <c r="P19" t="e">
        <f>AND(#REF!,"AAAAAHxc7w8=")</f>
        <v>#REF!</v>
      </c>
      <c r="Q19" t="e">
        <f>AND(#REF!,"AAAAAHxc7xA=")</f>
        <v>#REF!</v>
      </c>
      <c r="R19" t="e">
        <f>AND(#REF!,"AAAAAHxc7xE=")</f>
        <v>#REF!</v>
      </c>
      <c r="S19" t="e">
        <f>AND(#REF!,"AAAAAHxc7xI=")</f>
        <v>#REF!</v>
      </c>
      <c r="T19" t="e">
        <f>AND(#REF!,"AAAAAHxc7xM=")</f>
        <v>#REF!</v>
      </c>
      <c r="U19" t="e">
        <f>AND(#REF!,"AAAAAHxc7xQ=")</f>
        <v>#REF!</v>
      </c>
      <c r="V19" t="e">
        <f>AND(#REF!,"AAAAAHxc7xU=")</f>
        <v>#REF!</v>
      </c>
      <c r="W19" t="e">
        <f>AND(#REF!,"AAAAAHxc7xY=")</f>
        <v>#REF!</v>
      </c>
      <c r="X19" t="e">
        <f>AND(#REF!,"AAAAAHxc7xc=")</f>
        <v>#REF!</v>
      </c>
      <c r="Y19" t="e">
        <f>AND(#REF!,"AAAAAHxc7xg=")</f>
        <v>#REF!</v>
      </c>
      <c r="Z19" t="e">
        <f>AND(#REF!,"AAAAAHxc7xk=")</f>
        <v>#REF!</v>
      </c>
      <c r="AA19" t="e">
        <f>AND(#REF!,"AAAAAHxc7xo=")</f>
        <v>#REF!</v>
      </c>
      <c r="AB19" t="e">
        <f>AND(#REF!,"AAAAAHxc7xs=")</f>
        <v>#REF!</v>
      </c>
      <c r="AC19" t="e">
        <f>AND(#REF!,"AAAAAHxc7xw=")</f>
        <v>#REF!</v>
      </c>
      <c r="AD19" t="e">
        <f>AND(#REF!,"AAAAAHxc7x0=")</f>
        <v>#REF!</v>
      </c>
      <c r="AE19" t="e">
        <f>AND(#REF!,"AAAAAHxc7x4=")</f>
        <v>#REF!</v>
      </c>
      <c r="AF19" t="e">
        <f>AND(#REF!,"AAAAAHxc7x8=")</f>
        <v>#REF!</v>
      </c>
      <c r="AG19" t="e">
        <f>AND(#REF!,"AAAAAHxc7yA=")</f>
        <v>#REF!</v>
      </c>
      <c r="AH19" t="e">
        <f>AND(#REF!,"AAAAAHxc7yE=")</f>
        <v>#REF!</v>
      </c>
      <c r="AI19" t="e">
        <f>AND(#REF!,"AAAAAHxc7yI=")</f>
        <v>#REF!</v>
      </c>
      <c r="AJ19" t="e">
        <f>AND(#REF!,"AAAAAHxc7yM=")</f>
        <v>#REF!</v>
      </c>
      <c r="AK19" t="e">
        <f>AND(#REF!,"AAAAAHxc7yQ=")</f>
        <v>#REF!</v>
      </c>
      <c r="AL19" t="e">
        <f>AND(#REF!,"AAAAAHxc7yU=")</f>
        <v>#REF!</v>
      </c>
      <c r="AM19" t="e">
        <f>IF(#REF!,"AAAAAHxc7yY=",0)</f>
        <v>#REF!</v>
      </c>
      <c r="AN19" t="e">
        <f>IF(#REF!,"AAAAAHxc7yc=",0)</f>
        <v>#REF!</v>
      </c>
      <c r="AO19" t="e">
        <f>IF(#REF!,"AAAAAHxc7yg=",0)</f>
        <v>#REF!</v>
      </c>
      <c r="AP19" t="e">
        <f>IF(#REF!,"AAAAAHxc7yk=",0)</f>
        <v>#REF!</v>
      </c>
      <c r="AQ19" t="e">
        <f>IF(#REF!,"AAAAAHxc7yo=",0)</f>
        <v>#REF!</v>
      </c>
      <c r="AR19" t="e">
        <f>IF(#REF!,"AAAAAHxc7ys=",0)</f>
        <v>#REF!</v>
      </c>
      <c r="AS19" t="e">
        <f>IF(#REF!,"AAAAAHxc7yw=",0)</f>
        <v>#REF!</v>
      </c>
      <c r="AT19" t="e">
        <f>IF(#REF!,"AAAAAHxc7y0=",0)</f>
        <v>#REF!</v>
      </c>
      <c r="AU19" t="e">
        <f>IF(#REF!,"AAAAAHxc7y4=",0)</f>
        <v>#REF!</v>
      </c>
      <c r="AV19" t="e">
        <f>IF(#REF!,"AAAAAHxc7y8=",0)</f>
        <v>#REF!</v>
      </c>
      <c r="AW19" t="e">
        <f>IF(#REF!,"AAAAAHxc7zA=",0)</f>
        <v>#REF!</v>
      </c>
      <c r="AX19" t="e">
        <f>IF(#REF!,"AAAAAHxc7zE=",0)</f>
        <v>#REF!</v>
      </c>
      <c r="AY19" t="e">
        <f>IF(#REF!,"AAAAAHxc7zI=",0)</f>
        <v>#REF!</v>
      </c>
      <c r="AZ19" t="e">
        <f>IF(#REF!,"AAAAAHxc7zM=",0)</f>
        <v>#REF!</v>
      </c>
      <c r="BA19" t="e">
        <f>IF(#REF!,"AAAAAHxc7zQ=",0)</f>
        <v>#REF!</v>
      </c>
      <c r="BB19" t="e">
        <f>IF(#REF!,"AAAAAHxc7zU=",0)</f>
        <v>#REF!</v>
      </c>
      <c r="BC19" t="e">
        <f>IF(#REF!,"AAAAAHxc7zY=",0)</f>
        <v>#REF!</v>
      </c>
      <c r="BD19" t="e">
        <f>IF(#REF!,"AAAAAHxc7zc=",0)</f>
        <v>#REF!</v>
      </c>
      <c r="BE19" t="e">
        <f>IF(#REF!,"AAAAAHxc7zg=",0)</f>
        <v>#REF!</v>
      </c>
      <c r="BF19" t="e">
        <f>IF(#REF!,"AAAAAHxc7zk=",0)</f>
        <v>#REF!</v>
      </c>
      <c r="BG19" t="e">
        <f>IF(#REF!,"AAAAAHxc7zo=",0)</f>
        <v>#REF!</v>
      </c>
      <c r="BH19" t="e">
        <f>IF(#REF!,"AAAAAHxc7zs=",0)</f>
        <v>#REF!</v>
      </c>
      <c r="BI19" t="e">
        <f>IF(#REF!,"AAAAAHxc7zw=",0)</f>
        <v>#REF!</v>
      </c>
      <c r="BJ19" t="e">
        <f>IF(#REF!,"AAAAAHxc7z0=",0)</f>
        <v>#REF!</v>
      </c>
      <c r="BK19" t="e">
        <f>IF(#REF!,"AAAAAHxc7z4=",0)</f>
        <v>#REF!</v>
      </c>
      <c r="BL19" t="e">
        <f>IF(#REF!,"AAAAAHxc7z8=",0)</f>
        <v>#REF!</v>
      </c>
      <c r="BM19" t="e">
        <f>IF(#REF!,"AAAAAHxc70A=",0)</f>
        <v>#REF!</v>
      </c>
      <c r="BN19" t="e">
        <f>IF(#REF!,"AAAAAHxc70E=",0)</f>
        <v>#REF!</v>
      </c>
      <c r="BO19" t="e">
        <f>IF(#REF!,"AAAAAHxc70I=",0)</f>
        <v>#REF!</v>
      </c>
      <c r="BP19" t="e">
        <f>IF(#REF!,"AAAAAHxc70M=",0)</f>
        <v>#REF!</v>
      </c>
      <c r="BQ19" t="e">
        <f>IF(#REF!,"AAAAAHxc70Q=",0)</f>
        <v>#REF!</v>
      </c>
      <c r="BR19" t="e">
        <f>IF(#REF!,"AAAAAHxc70U=",0)</f>
        <v>#REF!</v>
      </c>
      <c r="BS19" t="e">
        <f>IF(#REF!,"AAAAAHxc70Y=",0)</f>
        <v>#REF!</v>
      </c>
      <c r="BT19" t="e">
        <f>IF(#REF!,"AAAAAHxc70c=",0)</f>
        <v>#REF!</v>
      </c>
      <c r="BU19" t="e">
        <f>IF(#REF!,"AAAAAHxc70g=",0)</f>
        <v>#REF!</v>
      </c>
      <c r="BV19" t="e">
        <f>IF(#REF!,"AAAAAHxc70k=",0)</f>
        <v>#REF!</v>
      </c>
      <c r="BW19" t="e">
        <f>IF(#REF!,"AAAAAHxc70o=",0)</f>
        <v>#REF!</v>
      </c>
      <c r="BX19" t="e">
        <f>IF(#REF!,"AAAAAHxc70s=",0)</f>
        <v>#REF!</v>
      </c>
      <c r="BY19" t="e">
        <f>IF(#REF!,"AAAAAHxc70w=",0)</f>
        <v>#REF!</v>
      </c>
      <c r="BZ19" t="e">
        <f>IF(#REF!,"AAAAAHxc700=",0)</f>
        <v>#REF!</v>
      </c>
      <c r="CA19" t="e">
        <f>IF(#REF!,"AAAAAHxc704=",0)</f>
        <v>#REF!</v>
      </c>
      <c r="CB19" t="e">
        <f>IF(#REF!,"AAAAAHxc708=",0)</f>
        <v>#REF!</v>
      </c>
      <c r="CC19" t="e">
        <f>IF(#REF!,"AAAAAHxc71A=",0)</f>
        <v>#REF!</v>
      </c>
      <c r="CD19" t="e">
        <f>IF(#REF!,"AAAAAHxc71E=",0)</f>
        <v>#REF!</v>
      </c>
      <c r="CE19" t="e">
        <f>IF(#REF!,"AAAAAHxc71I=",0)</f>
        <v>#REF!</v>
      </c>
      <c r="CF19" t="e">
        <f>IF(#REF!,"AAAAAHxc71M=",0)</f>
        <v>#REF!</v>
      </c>
      <c r="CG19" t="e">
        <f>IF(#REF!,"AAAAAHxc71Q=",0)</f>
        <v>#REF!</v>
      </c>
      <c r="CH19" t="e">
        <f>IF(#REF!,"AAAAAHxc71U=",0)</f>
        <v>#REF!</v>
      </c>
      <c r="CI19" t="e">
        <f>IF(#REF!,"AAAAAHxc71Y=",0)</f>
        <v>#REF!</v>
      </c>
      <c r="CJ19" t="e">
        <f>IF(#REF!,"AAAAAHxc71c=",0)</f>
        <v>#REF!</v>
      </c>
      <c r="CK19" s="1" t="s">
        <v>1</v>
      </c>
      <c r="CL19" t="s">
        <v>2</v>
      </c>
      <c r="CM19" s="2" t="s">
        <v>3</v>
      </c>
      <c r="CN19" s="3" t="s">
        <v>4</v>
      </c>
      <c r="CO19" s="4" t="s">
        <v>5</v>
      </c>
      <c r="CP19" t="e">
        <f>IF("N",[0]!_xlnm._FilterDatabase,"AAAAAHxc710=")</f>
        <v>#VALUE!</v>
      </c>
      <c r="CQ19" t="e">
        <f>IF("N",[0]!_xlnm.Print_Area,"AAAAAHxc714=")</f>
        <v>#VALUE!</v>
      </c>
      <c r="CR19" t="e">
        <f>IF("N",WeightedComposition_Original,"AAAAAHxc718=")</f>
        <v>#VALUE!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showGridLines="0" topLeftCell="A76" zoomScaleNormal="100" workbookViewId="0">
      <selection activeCell="A86" sqref="A86"/>
    </sheetView>
  </sheetViews>
  <sheetFormatPr defaultRowHeight="12.75" x14ac:dyDescent="0.2"/>
  <cols>
    <col min="1" max="1" width="31.7109375" style="31" bestFit="1" customWidth="1"/>
    <col min="2" max="10" width="10" style="21" customWidth="1"/>
    <col min="11" max="11" width="12.85546875" style="21" customWidth="1"/>
    <col min="12" max="15" width="10" style="21" customWidth="1"/>
    <col min="16" max="16" width="14" style="21" customWidth="1"/>
    <col min="17" max="17" width="10" style="21" customWidth="1"/>
    <col min="18" max="16384" width="9.140625" style="16"/>
  </cols>
  <sheetData>
    <row r="1" spans="1:17" ht="15" x14ac:dyDescent="0.25">
      <c r="A1" s="109" t="s">
        <v>120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7.5" customHeight="1" x14ac:dyDescent="0.2"/>
    <row r="3" spans="1:17" ht="12.75" customHeight="1" thickBot="1" x14ac:dyDescent="0.25">
      <c r="A3" s="31" t="s">
        <v>133</v>
      </c>
    </row>
    <row r="4" spans="1:17" s="5" customFormat="1" ht="38.25" customHeight="1" thickBot="1" x14ac:dyDescent="0.25">
      <c r="A4" s="25" t="s">
        <v>66</v>
      </c>
      <c r="B4" s="26" t="s">
        <v>38</v>
      </c>
      <c r="C4" s="32" t="s">
        <v>39</v>
      </c>
      <c r="D4" s="32" t="s">
        <v>40</v>
      </c>
      <c r="E4" s="32" t="s">
        <v>41</v>
      </c>
      <c r="F4" s="32" t="s">
        <v>42</v>
      </c>
      <c r="G4" s="32" t="s">
        <v>43</v>
      </c>
      <c r="H4" s="32" t="s">
        <v>44</v>
      </c>
      <c r="I4" s="32" t="s">
        <v>45</v>
      </c>
      <c r="J4" s="32" t="s">
        <v>64</v>
      </c>
      <c r="K4" s="32" t="s">
        <v>46</v>
      </c>
      <c r="L4" s="32" t="s">
        <v>7</v>
      </c>
      <c r="M4" s="32" t="s">
        <v>76</v>
      </c>
      <c r="N4" s="32" t="s">
        <v>47</v>
      </c>
      <c r="O4" s="32" t="s">
        <v>48</v>
      </c>
      <c r="P4" s="27" t="s">
        <v>49</v>
      </c>
      <c r="Q4" s="24" t="s">
        <v>0</v>
      </c>
    </row>
    <row r="5" spans="1:17" ht="12.75" customHeight="1" x14ac:dyDescent="0.2">
      <c r="A5" s="23" t="s">
        <v>8</v>
      </c>
      <c r="B5" s="53" t="s">
        <v>132</v>
      </c>
      <c r="C5" s="67" t="s">
        <v>132</v>
      </c>
      <c r="D5" s="67" t="s">
        <v>132</v>
      </c>
      <c r="E5" s="67">
        <v>1.54695278659762E-3</v>
      </c>
      <c r="F5" s="67" t="s">
        <v>132</v>
      </c>
      <c r="G5" s="67">
        <v>5.4013972798343303E-5</v>
      </c>
      <c r="H5" s="67" t="s">
        <v>132</v>
      </c>
      <c r="I5" s="67">
        <v>1.03805846838802E-4</v>
      </c>
      <c r="J5" s="67">
        <v>1.5632595827146599E-3</v>
      </c>
      <c r="K5" s="67">
        <v>4.7759997971699399E-4</v>
      </c>
      <c r="L5" s="67">
        <v>7.3168258736443798E-5</v>
      </c>
      <c r="M5" s="67">
        <v>1.69483385954536E-5</v>
      </c>
      <c r="N5" s="67" t="s">
        <v>132</v>
      </c>
      <c r="O5" s="67" t="s">
        <v>132</v>
      </c>
      <c r="P5" s="56">
        <v>7.7962357539086496E-5</v>
      </c>
      <c r="Q5" s="58">
        <v>3.9137111235374037E-3</v>
      </c>
    </row>
    <row r="6" spans="1:17" ht="12.75" customHeight="1" x14ac:dyDescent="0.2">
      <c r="A6" s="22" t="s">
        <v>9</v>
      </c>
      <c r="B6" s="54">
        <v>1.5259951905061101E-3</v>
      </c>
      <c r="C6" s="66" t="s">
        <v>132</v>
      </c>
      <c r="D6" s="66">
        <v>1.9427628407197701E-3</v>
      </c>
      <c r="E6" s="66">
        <v>1.9435209072282101E-3</v>
      </c>
      <c r="F6" s="66">
        <v>9.4646627127235698E-4</v>
      </c>
      <c r="G6" s="66">
        <v>4.1451128635612902E-4</v>
      </c>
      <c r="H6" s="66">
        <v>9.4469274720323794E-6</v>
      </c>
      <c r="I6" s="66">
        <v>3.2742830151853399E-4</v>
      </c>
      <c r="J6" s="66">
        <v>1.2251395020079699E-4</v>
      </c>
      <c r="K6" s="66">
        <v>2.1750597075385798E-3</v>
      </c>
      <c r="L6" s="66">
        <v>2.2378622881621198E-3</v>
      </c>
      <c r="M6" s="66">
        <v>1.27837666435618E-3</v>
      </c>
      <c r="N6" s="66" t="s">
        <v>132</v>
      </c>
      <c r="O6" s="66">
        <v>1.0169003157272201E-5</v>
      </c>
      <c r="P6" s="55">
        <v>6.09866314021326E-5</v>
      </c>
      <c r="Q6" s="59">
        <v>1.2995099969890225E-2</v>
      </c>
    </row>
    <row r="7" spans="1:17" ht="12.75" customHeight="1" x14ac:dyDescent="0.2">
      <c r="A7" s="23" t="s">
        <v>10</v>
      </c>
      <c r="B7" s="53">
        <v>3.3580794615427697E-5</v>
      </c>
      <c r="C7" s="67">
        <v>4.7234637360161897E-6</v>
      </c>
      <c r="D7" s="67">
        <v>8.1131314551069097E-6</v>
      </c>
      <c r="E7" s="67">
        <v>4.4352434931217699E-4</v>
      </c>
      <c r="F7" s="67">
        <v>8.7952129487524304E-6</v>
      </c>
      <c r="G7" s="67">
        <v>2.6174555360377799E-5</v>
      </c>
      <c r="H7" s="67">
        <v>2.00069402538821E-6</v>
      </c>
      <c r="I7" s="67">
        <v>4.4241188064670999E-5</v>
      </c>
      <c r="J7" s="67">
        <v>4.70139266530537E-5</v>
      </c>
      <c r="K7" s="67">
        <v>1.6005552203105599E-5</v>
      </c>
      <c r="L7" s="67">
        <v>1.7047587204522101E-4</v>
      </c>
      <c r="M7" s="67">
        <v>4.1805103444095E-4</v>
      </c>
      <c r="N7" s="67" t="s">
        <v>132</v>
      </c>
      <c r="O7" s="67" t="s">
        <v>132</v>
      </c>
      <c r="P7" s="56">
        <v>8.1131314551069097E-6</v>
      </c>
      <c r="Q7" s="58">
        <v>1.2308129063153545E-3</v>
      </c>
    </row>
    <row r="8" spans="1:17" ht="12.75" customHeight="1" x14ac:dyDescent="0.2">
      <c r="A8" s="22" t="s">
        <v>11</v>
      </c>
      <c r="B8" s="54" t="s">
        <v>132</v>
      </c>
      <c r="C8" s="66" t="s">
        <v>132</v>
      </c>
      <c r="D8" s="66">
        <v>1.00795003777362E-3</v>
      </c>
      <c r="E8" s="66">
        <v>4.5755834117156002E-4</v>
      </c>
      <c r="F8" s="66" t="s">
        <v>132</v>
      </c>
      <c r="G8" s="66" t="s">
        <v>132</v>
      </c>
      <c r="H8" s="66" t="s">
        <v>132</v>
      </c>
      <c r="I8" s="66">
        <v>4.0013880507764099E-6</v>
      </c>
      <c r="J8" s="66">
        <v>2.5095621606626801E-3</v>
      </c>
      <c r="K8" s="66">
        <v>2.2007634279270299E-5</v>
      </c>
      <c r="L8" s="66">
        <v>6.2033292658233996E-4</v>
      </c>
      <c r="M8" s="66">
        <v>8.6173049918541404E-4</v>
      </c>
      <c r="N8" s="66">
        <v>2.0006940253882099E-5</v>
      </c>
      <c r="O8" s="66">
        <v>2.19478644478209E-5</v>
      </c>
      <c r="P8" s="55">
        <v>1.2726239837568999E-5</v>
      </c>
      <c r="Q8" s="59">
        <v>5.5378240322449335E-3</v>
      </c>
    </row>
    <row r="9" spans="1:17" ht="12.75" customHeight="1" x14ac:dyDescent="0.2">
      <c r="A9" s="23" t="s">
        <v>12</v>
      </c>
      <c r="B9" s="53" t="s">
        <v>132</v>
      </c>
      <c r="C9" s="67" t="s">
        <v>132</v>
      </c>
      <c r="D9" s="67" t="s">
        <v>132</v>
      </c>
      <c r="E9" s="67">
        <v>2.6841453368840499E-5</v>
      </c>
      <c r="F9" s="67">
        <v>2.2117989632824299E-5</v>
      </c>
      <c r="G9" s="67">
        <v>4.0013880507764099E-6</v>
      </c>
      <c r="H9" s="67" t="s">
        <v>132</v>
      </c>
      <c r="I9" s="67" t="s">
        <v>132</v>
      </c>
      <c r="J9" s="67">
        <v>3.6823329013784602E-4</v>
      </c>
      <c r="K9" s="67">
        <v>6.3019478856159397E-5</v>
      </c>
      <c r="L9" s="67">
        <v>6.9605215836907302E-4</v>
      </c>
      <c r="M9" s="67">
        <v>3.25971971940015E-3</v>
      </c>
      <c r="N9" s="67">
        <v>1.69483385954536E-5</v>
      </c>
      <c r="O9" s="67">
        <v>6.1941969315729904E-5</v>
      </c>
      <c r="P9" s="56" t="s">
        <v>132</v>
      </c>
      <c r="Q9" s="58">
        <v>4.5188757857268528E-3</v>
      </c>
    </row>
    <row r="10" spans="1:17" ht="12.75" customHeight="1" x14ac:dyDescent="0.2">
      <c r="A10" s="22" t="s">
        <v>13</v>
      </c>
      <c r="B10" s="54" t="s">
        <v>132</v>
      </c>
      <c r="C10" s="66" t="s">
        <v>132</v>
      </c>
      <c r="D10" s="66" t="s">
        <v>132</v>
      </c>
      <c r="E10" s="66" t="s">
        <v>132</v>
      </c>
      <c r="F10" s="66" t="s">
        <v>132</v>
      </c>
      <c r="G10" s="66" t="s">
        <v>132</v>
      </c>
      <c r="H10" s="66" t="s">
        <v>132</v>
      </c>
      <c r="I10" s="66" t="s">
        <v>132</v>
      </c>
      <c r="J10" s="66" t="s">
        <v>132</v>
      </c>
      <c r="K10" s="66" t="s">
        <v>132</v>
      </c>
      <c r="L10" s="66">
        <v>1.7394525896808201E-5</v>
      </c>
      <c r="M10" s="66">
        <v>1.20041641523292E-5</v>
      </c>
      <c r="N10" s="66" t="s">
        <v>132</v>
      </c>
      <c r="O10" s="66" t="s">
        <v>132</v>
      </c>
      <c r="P10" s="55" t="s">
        <v>132</v>
      </c>
      <c r="Q10" s="59">
        <v>2.9398690049137401E-5</v>
      </c>
    </row>
    <row r="11" spans="1:17" ht="12.75" customHeight="1" x14ac:dyDescent="0.2">
      <c r="A11" s="23" t="s">
        <v>14</v>
      </c>
      <c r="B11" s="53" t="s">
        <v>132</v>
      </c>
      <c r="C11" s="67" t="s">
        <v>132</v>
      </c>
      <c r="D11" s="67" t="s">
        <v>132</v>
      </c>
      <c r="E11" s="67">
        <v>6.6689800846273505E-7</v>
      </c>
      <c r="F11" s="67" t="s">
        <v>132</v>
      </c>
      <c r="G11" s="67" t="s">
        <v>132</v>
      </c>
      <c r="H11" s="67" t="s">
        <v>132</v>
      </c>
      <c r="I11" s="67" t="s">
        <v>132</v>
      </c>
      <c r="J11" s="67" t="s">
        <v>132</v>
      </c>
      <c r="K11" s="67" t="s">
        <v>132</v>
      </c>
      <c r="L11" s="67">
        <v>3.9011150551500902E-5</v>
      </c>
      <c r="M11" s="67">
        <v>6.0572597529416602E-6</v>
      </c>
      <c r="N11" s="67" t="s">
        <v>132</v>
      </c>
      <c r="O11" s="67" t="s">
        <v>132</v>
      </c>
      <c r="P11" s="56" t="s">
        <v>132</v>
      </c>
      <c r="Q11" s="58">
        <v>4.5735308312905298E-5</v>
      </c>
    </row>
    <row r="12" spans="1:17" ht="12.75" customHeight="1" x14ac:dyDescent="0.2">
      <c r="A12" s="22" t="s">
        <v>15</v>
      </c>
      <c r="B12" s="54" t="s">
        <v>132</v>
      </c>
      <c r="C12" s="66" t="s">
        <v>132</v>
      </c>
      <c r="D12" s="66">
        <v>8.6696741100155597E-6</v>
      </c>
      <c r="E12" s="66">
        <v>9.5876497959520394E-6</v>
      </c>
      <c r="F12" s="66" t="s">
        <v>132</v>
      </c>
      <c r="G12" s="66" t="s">
        <v>132</v>
      </c>
      <c r="H12" s="66" t="s">
        <v>132</v>
      </c>
      <c r="I12" s="66" t="s">
        <v>132</v>
      </c>
      <c r="J12" s="66">
        <v>6.0020820761646203E-6</v>
      </c>
      <c r="K12" s="66" t="s">
        <v>132</v>
      </c>
      <c r="L12" s="66">
        <v>5.5370245265563204E-4</v>
      </c>
      <c r="M12" s="66">
        <v>1.19475567094107E-4</v>
      </c>
      <c r="N12" s="66" t="s">
        <v>132</v>
      </c>
      <c r="O12" s="66" t="s">
        <v>132</v>
      </c>
      <c r="P12" s="55" t="s">
        <v>132</v>
      </c>
      <c r="Q12" s="59">
        <v>6.9743742573187128E-4</v>
      </c>
    </row>
    <row r="13" spans="1:17" ht="12.75" customHeight="1" x14ac:dyDescent="0.2">
      <c r="A13" s="23" t="s">
        <v>16</v>
      </c>
      <c r="B13" s="53" t="s">
        <v>132</v>
      </c>
      <c r="C13" s="67" t="s">
        <v>132</v>
      </c>
      <c r="D13" s="67" t="s">
        <v>132</v>
      </c>
      <c r="E13" s="67" t="s">
        <v>132</v>
      </c>
      <c r="F13" s="67" t="s">
        <v>132</v>
      </c>
      <c r="G13" s="67" t="s">
        <v>132</v>
      </c>
      <c r="H13" s="67" t="s">
        <v>132</v>
      </c>
      <c r="I13" s="67" t="s">
        <v>132</v>
      </c>
      <c r="J13" s="67" t="s">
        <v>132</v>
      </c>
      <c r="K13" s="67" t="s">
        <v>132</v>
      </c>
      <c r="L13" s="67" t="s">
        <v>132</v>
      </c>
      <c r="M13" s="67">
        <v>7.4462334466441698E-6</v>
      </c>
      <c r="N13" s="67" t="s">
        <v>132</v>
      </c>
      <c r="O13" s="67" t="s">
        <v>132</v>
      </c>
      <c r="P13" s="56" t="s">
        <v>132</v>
      </c>
      <c r="Q13" s="58">
        <v>7.4462334466441698E-6</v>
      </c>
    </row>
    <row r="14" spans="1:17" ht="12.75" customHeight="1" x14ac:dyDescent="0.2">
      <c r="A14" s="22" t="s">
        <v>17</v>
      </c>
      <c r="B14" s="54" t="s">
        <v>132</v>
      </c>
      <c r="C14" s="66" t="s">
        <v>132</v>
      </c>
      <c r="D14" s="66" t="s">
        <v>132</v>
      </c>
      <c r="E14" s="66">
        <v>4.0786541715108601E-5</v>
      </c>
      <c r="F14" s="66">
        <v>1.3337960169254701E-6</v>
      </c>
      <c r="G14" s="66" t="s">
        <v>132</v>
      </c>
      <c r="H14" s="66" t="s">
        <v>132</v>
      </c>
      <c r="I14" s="66" t="s">
        <v>132</v>
      </c>
      <c r="J14" s="66">
        <v>1.3337960169254701E-6</v>
      </c>
      <c r="K14" s="66" t="s">
        <v>132</v>
      </c>
      <c r="L14" s="66">
        <v>6.3877068066296494E-5</v>
      </c>
      <c r="M14" s="66">
        <v>7.3128538449516198E-5</v>
      </c>
      <c r="N14" s="66">
        <v>2.2674532287733001E-5</v>
      </c>
      <c r="O14" s="66" t="s">
        <v>132</v>
      </c>
      <c r="P14" s="55">
        <v>4.0013880507764099E-6</v>
      </c>
      <c r="Q14" s="59">
        <v>2.0713566060328163E-4</v>
      </c>
    </row>
    <row r="15" spans="1:17" ht="12.75" customHeight="1" x14ac:dyDescent="0.2">
      <c r="A15" s="23" t="s">
        <v>79</v>
      </c>
      <c r="B15" s="53" t="s">
        <v>132</v>
      </c>
      <c r="C15" s="67" t="s">
        <v>132</v>
      </c>
      <c r="D15" s="67" t="s">
        <v>132</v>
      </c>
      <c r="E15" s="67">
        <v>8.2695353049379194E-5</v>
      </c>
      <c r="F15" s="67" t="s">
        <v>132</v>
      </c>
      <c r="G15" s="67" t="s">
        <v>132</v>
      </c>
      <c r="H15" s="67" t="s">
        <v>132</v>
      </c>
      <c r="I15" s="67" t="s">
        <v>132</v>
      </c>
      <c r="J15" s="67" t="s">
        <v>132</v>
      </c>
      <c r="K15" s="67">
        <v>3.3344900423136801E-6</v>
      </c>
      <c r="L15" s="67">
        <v>8.1131314551069097E-6</v>
      </c>
      <c r="M15" s="67">
        <v>3.38966771909072E-6</v>
      </c>
      <c r="N15" s="67" t="s">
        <v>132</v>
      </c>
      <c r="O15" s="67" t="s">
        <v>132</v>
      </c>
      <c r="P15" s="56" t="s">
        <v>132</v>
      </c>
      <c r="Q15" s="58">
        <v>9.753264226589051E-5</v>
      </c>
    </row>
    <row r="16" spans="1:17" ht="12.75" customHeight="1" x14ac:dyDescent="0.2">
      <c r="A16" s="22" t="s">
        <v>80</v>
      </c>
      <c r="B16" s="54" t="s">
        <v>132</v>
      </c>
      <c r="C16" s="66" t="s">
        <v>132</v>
      </c>
      <c r="D16" s="66" t="s">
        <v>132</v>
      </c>
      <c r="E16" s="66">
        <v>3.38966771909072E-6</v>
      </c>
      <c r="F16" s="66" t="s">
        <v>132</v>
      </c>
      <c r="G16" s="66">
        <v>6.6689800846273505E-7</v>
      </c>
      <c r="H16" s="66" t="s">
        <v>132</v>
      </c>
      <c r="I16" s="66" t="s">
        <v>132</v>
      </c>
      <c r="J16" s="66" t="s">
        <v>132</v>
      </c>
      <c r="K16" s="66" t="s">
        <v>132</v>
      </c>
      <c r="L16" s="66">
        <v>5.7849827818788603E-5</v>
      </c>
      <c r="M16" s="66">
        <v>2.16657810571364E-4</v>
      </c>
      <c r="N16" s="66" t="s">
        <v>132</v>
      </c>
      <c r="O16" s="66" t="s">
        <v>132</v>
      </c>
      <c r="P16" s="55">
        <v>8.3191952140372497E-5</v>
      </c>
      <c r="Q16" s="59">
        <v>3.6175615625807855E-4</v>
      </c>
    </row>
    <row r="17" spans="1:17" ht="12.75" customHeight="1" x14ac:dyDescent="0.2">
      <c r="A17" s="23" t="s">
        <v>18</v>
      </c>
      <c r="B17" s="53" t="s">
        <v>132</v>
      </c>
      <c r="C17" s="67" t="s">
        <v>132</v>
      </c>
      <c r="D17" s="67" t="s">
        <v>132</v>
      </c>
      <c r="E17" s="67" t="s">
        <v>132</v>
      </c>
      <c r="F17" s="67" t="s">
        <v>132</v>
      </c>
      <c r="G17" s="67" t="s">
        <v>132</v>
      </c>
      <c r="H17" s="67" t="s">
        <v>132</v>
      </c>
      <c r="I17" s="67" t="s">
        <v>132</v>
      </c>
      <c r="J17" s="67" t="s">
        <v>132</v>
      </c>
      <c r="K17" s="67" t="s">
        <v>132</v>
      </c>
      <c r="L17" s="67" t="s">
        <v>132</v>
      </c>
      <c r="M17" s="67" t="s">
        <v>132</v>
      </c>
      <c r="N17" s="67" t="s">
        <v>132</v>
      </c>
      <c r="O17" s="67" t="s">
        <v>132</v>
      </c>
      <c r="P17" s="56" t="s">
        <v>132</v>
      </c>
      <c r="Q17" s="58" t="s">
        <v>132</v>
      </c>
    </row>
    <row r="18" spans="1:17" ht="12.75" customHeight="1" x14ac:dyDescent="0.2">
      <c r="A18" s="22" t="s">
        <v>78</v>
      </c>
      <c r="B18" s="54" t="s">
        <v>132</v>
      </c>
      <c r="C18" s="66" t="s">
        <v>132</v>
      </c>
      <c r="D18" s="66" t="s">
        <v>132</v>
      </c>
      <c r="E18" s="66">
        <v>2.8934519678608199E-4</v>
      </c>
      <c r="F18" s="66" t="s">
        <v>132</v>
      </c>
      <c r="G18" s="66" t="s">
        <v>132</v>
      </c>
      <c r="H18" s="66">
        <v>6.6689800846273505E-7</v>
      </c>
      <c r="I18" s="66" t="s">
        <v>132</v>
      </c>
      <c r="J18" s="66" t="s">
        <v>132</v>
      </c>
      <c r="K18" s="66" t="s">
        <v>132</v>
      </c>
      <c r="L18" s="66">
        <v>1.4892466893288301E-5</v>
      </c>
      <c r="M18" s="66" t="s">
        <v>132</v>
      </c>
      <c r="N18" s="66" t="s">
        <v>132</v>
      </c>
      <c r="O18" s="66" t="s">
        <v>132</v>
      </c>
      <c r="P18" s="55" t="s">
        <v>132</v>
      </c>
      <c r="Q18" s="59">
        <v>3.0490456168783307E-4</v>
      </c>
    </row>
    <row r="19" spans="1:17" ht="12.75" customHeight="1" x14ac:dyDescent="0.2">
      <c r="A19" s="23" t="s">
        <v>33</v>
      </c>
      <c r="B19" s="53">
        <v>6.0967695155530305E-4</v>
      </c>
      <c r="C19" s="67">
        <v>1.2946296050672899E-3</v>
      </c>
      <c r="D19" s="67">
        <v>1.3671409173486099E-4</v>
      </c>
      <c r="E19" s="67">
        <v>2.5521373215372399E-3</v>
      </c>
      <c r="F19" s="67" t="s">
        <v>132</v>
      </c>
      <c r="G19" s="67">
        <v>2.6291381659037202E-4</v>
      </c>
      <c r="H19" s="67">
        <v>1.0652791678863001E-3</v>
      </c>
      <c r="I19" s="67">
        <v>3.2085053195621202E-3</v>
      </c>
      <c r="J19" s="67">
        <v>2.4008328304658502E-5</v>
      </c>
      <c r="K19" s="67">
        <v>1.04086501109825E-4</v>
      </c>
      <c r="L19" s="67">
        <v>7.0732031637554997E-3</v>
      </c>
      <c r="M19" s="67">
        <v>9.1199729161511596E-4</v>
      </c>
      <c r="N19" s="67" t="s">
        <v>132</v>
      </c>
      <c r="O19" s="67" t="s">
        <v>132</v>
      </c>
      <c r="P19" s="56">
        <v>8.1692623093115898E-5</v>
      </c>
      <c r="Q19" s="58">
        <v>1.73248441818117E-2</v>
      </c>
    </row>
    <row r="20" spans="1:17" ht="12.75" customHeight="1" x14ac:dyDescent="0.2">
      <c r="A20" s="22" t="s">
        <v>34</v>
      </c>
      <c r="B20" s="54">
        <v>4.8181713050934199E-4</v>
      </c>
      <c r="C20" s="66">
        <v>8.5297007162923302E-4</v>
      </c>
      <c r="D20" s="66">
        <v>8.7133396627233695E-5</v>
      </c>
      <c r="E20" s="66">
        <v>3.7286344909997903E-5</v>
      </c>
      <c r="F20" s="66" t="s">
        <v>132</v>
      </c>
      <c r="G20" s="66" t="s">
        <v>132</v>
      </c>
      <c r="H20" s="66">
        <v>3.18089030846553E-3</v>
      </c>
      <c r="I20" s="66">
        <v>1.46492085267555E-4</v>
      </c>
      <c r="J20" s="66" t="s">
        <v>132</v>
      </c>
      <c r="K20" s="66">
        <v>1.4004858177717399E-5</v>
      </c>
      <c r="L20" s="66">
        <v>2.8724844506855502E-4</v>
      </c>
      <c r="M20" s="66">
        <v>3.2678002414673999E-5</v>
      </c>
      <c r="N20" s="66" t="s">
        <v>132</v>
      </c>
      <c r="O20" s="66" t="s">
        <v>132</v>
      </c>
      <c r="P20" s="55" t="s">
        <v>132</v>
      </c>
      <c r="Q20" s="59">
        <v>5.1205206430698378E-3</v>
      </c>
    </row>
    <row r="21" spans="1:17" ht="12.75" customHeight="1" x14ac:dyDescent="0.2">
      <c r="A21" s="23" t="s">
        <v>35</v>
      </c>
      <c r="B21" s="53">
        <v>2.5971572589672401E-4</v>
      </c>
      <c r="C21" s="67">
        <v>1.23887377604777E-3</v>
      </c>
      <c r="D21" s="67" t="s">
        <v>132</v>
      </c>
      <c r="E21" s="67">
        <v>2.86766143638976E-5</v>
      </c>
      <c r="F21" s="67" t="s">
        <v>132</v>
      </c>
      <c r="G21" s="67" t="s">
        <v>132</v>
      </c>
      <c r="H21" s="67">
        <v>2.85981634186178E-4</v>
      </c>
      <c r="I21" s="67">
        <v>5.2028127018021104E-4</v>
      </c>
      <c r="J21" s="67" t="s">
        <v>132</v>
      </c>
      <c r="K21" s="67">
        <v>4.0013880507764099E-6</v>
      </c>
      <c r="L21" s="67">
        <v>1.5282523340438199E-4</v>
      </c>
      <c r="M21" s="67">
        <v>6.02967091455314E-5</v>
      </c>
      <c r="N21" s="67" t="s">
        <v>132</v>
      </c>
      <c r="O21" s="67" t="s">
        <v>132</v>
      </c>
      <c r="P21" s="56">
        <v>2.6675920338509402E-6</v>
      </c>
      <c r="Q21" s="58">
        <v>2.5533199433093214E-3</v>
      </c>
    </row>
    <row r="22" spans="1:17" ht="12.75" customHeight="1" x14ac:dyDescent="0.2">
      <c r="A22" s="22" t="s">
        <v>36</v>
      </c>
      <c r="B22" s="54">
        <v>1.1337266143866501E-5</v>
      </c>
      <c r="C22" s="66">
        <v>8.0027761015528194E-5</v>
      </c>
      <c r="D22" s="66" t="s">
        <v>132</v>
      </c>
      <c r="E22" s="66" t="s">
        <v>132</v>
      </c>
      <c r="F22" s="66" t="s">
        <v>132</v>
      </c>
      <c r="G22" s="66" t="s">
        <v>132</v>
      </c>
      <c r="H22" s="66">
        <v>8.4696047074767306E-5</v>
      </c>
      <c r="I22" s="66">
        <v>1.05369885337112E-4</v>
      </c>
      <c r="J22" s="66" t="s">
        <v>132</v>
      </c>
      <c r="K22" s="66" t="s">
        <v>132</v>
      </c>
      <c r="L22" s="66" t="s">
        <v>132</v>
      </c>
      <c r="M22" s="66">
        <v>5.1346380764492398E-5</v>
      </c>
      <c r="N22" s="66" t="s">
        <v>132</v>
      </c>
      <c r="O22" s="66" t="s">
        <v>132</v>
      </c>
      <c r="P22" s="55" t="s">
        <v>132</v>
      </c>
      <c r="Q22" s="59">
        <v>3.3277734033576638E-4</v>
      </c>
    </row>
    <row r="23" spans="1:17" ht="12.75" customHeight="1" x14ac:dyDescent="0.2">
      <c r="A23" s="23" t="s">
        <v>6</v>
      </c>
      <c r="B23" s="53">
        <v>4.9001175281575596E-4</v>
      </c>
      <c r="C23" s="67">
        <v>4.28526831311309E-4</v>
      </c>
      <c r="D23" s="67">
        <v>1.06703681354038E-5</v>
      </c>
      <c r="E23" s="67">
        <v>4.2371207577029198E-4</v>
      </c>
      <c r="F23" s="67">
        <v>1.6837983241899502E-5</v>
      </c>
      <c r="G23" s="67">
        <v>1.4392662838719599E-4</v>
      </c>
      <c r="H23" s="67" t="s">
        <v>132</v>
      </c>
      <c r="I23" s="67">
        <v>2.6675920338509402E-6</v>
      </c>
      <c r="J23" s="67">
        <v>2.4008328304658502E-5</v>
      </c>
      <c r="K23" s="67">
        <v>5.8627081180805398E-5</v>
      </c>
      <c r="L23" s="67">
        <v>2.9303827384491698E-4</v>
      </c>
      <c r="M23" s="67">
        <v>6.0264370077107304E-4</v>
      </c>
      <c r="N23" s="67" t="s">
        <v>132</v>
      </c>
      <c r="O23" s="67" t="s">
        <v>132</v>
      </c>
      <c r="P23" s="56" t="s">
        <v>132</v>
      </c>
      <c r="Q23" s="58">
        <v>2.4946706157971616E-3</v>
      </c>
    </row>
    <row r="24" spans="1:17" ht="12.75" customHeight="1" thickBot="1" x14ac:dyDescent="0.25">
      <c r="A24" s="9" t="s">
        <v>37</v>
      </c>
      <c r="B24" s="10" t="s">
        <v>132</v>
      </c>
      <c r="C24" s="6">
        <v>4.7455348067269999E-5</v>
      </c>
      <c r="D24" s="6" t="s">
        <v>132</v>
      </c>
      <c r="E24" s="6">
        <v>6.7592593047027203E-5</v>
      </c>
      <c r="F24" s="6">
        <v>2.4675226313121201E-5</v>
      </c>
      <c r="G24" s="6">
        <v>1.40425293740337E-4</v>
      </c>
      <c r="H24" s="6" t="s">
        <v>132</v>
      </c>
      <c r="I24" s="6">
        <v>5.3351840677018804E-6</v>
      </c>
      <c r="J24" s="6">
        <v>5.9088293891979601E-4</v>
      </c>
      <c r="K24" s="6">
        <v>1.9322535764958599E-4</v>
      </c>
      <c r="L24" s="6">
        <v>6.3215384607151898E-3</v>
      </c>
      <c r="M24" s="6">
        <v>9.2636037453368595E-4</v>
      </c>
      <c r="N24" s="6" t="s">
        <v>132</v>
      </c>
      <c r="O24" s="6" t="s">
        <v>132</v>
      </c>
      <c r="P24" s="7">
        <v>4.9291646904074802E-6</v>
      </c>
      <c r="Q24" s="11">
        <v>8.322419941744123E-3</v>
      </c>
    </row>
    <row r="25" spans="1:17" ht="12.75" customHeight="1" thickTop="1" thickBot="1" x14ac:dyDescent="0.25">
      <c r="A25" s="8" t="s">
        <v>0</v>
      </c>
      <c r="B25" s="13">
        <v>3.4121348120425294E-3</v>
      </c>
      <c r="C25" s="73">
        <v>3.9472068568744169E-3</v>
      </c>
      <c r="D25" s="73">
        <v>3.2020135405560111E-3</v>
      </c>
      <c r="E25" s="73">
        <v>7.9542740943809379E-3</v>
      </c>
      <c r="F25" s="73">
        <v>1.02022647942588E-3</v>
      </c>
      <c r="G25" s="73">
        <v>1.0466338392919941E-3</v>
      </c>
      <c r="H25" s="73">
        <v>4.6289616771186589E-3</v>
      </c>
      <c r="I25" s="73">
        <v>4.468128060921334E-3</v>
      </c>
      <c r="J25" s="73">
        <v>5.2568183839912398E-3</v>
      </c>
      <c r="K25" s="73">
        <v>3.1309720288051333E-3</v>
      </c>
      <c r="L25" s="73">
        <v>1.868058570402116E-2</v>
      </c>
      <c r="M25" s="73">
        <v>8.8583079564087137E-3</v>
      </c>
      <c r="N25" s="73">
        <v>5.9629811137068701E-5</v>
      </c>
      <c r="O25" s="73">
        <v>9.4058836920823008E-5</v>
      </c>
      <c r="P25" s="15">
        <v>3.3627108024241831E-4</v>
      </c>
      <c r="Q25" s="12">
        <v>6.6096223162138312E-2</v>
      </c>
    </row>
    <row r="28" spans="1:17" ht="15" x14ac:dyDescent="0.25">
      <c r="A28" s="109" t="s">
        <v>114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</row>
    <row r="29" spans="1:17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ht="13.5" thickBot="1" x14ac:dyDescent="0.25">
      <c r="A30" s="31" t="s">
        <v>133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ht="39" thickBot="1" x14ac:dyDescent="0.25">
      <c r="A31" s="51" t="s">
        <v>88</v>
      </c>
      <c r="B31" s="52" t="s">
        <v>38</v>
      </c>
      <c r="C31" s="68" t="s">
        <v>39</v>
      </c>
      <c r="D31" s="68" t="s">
        <v>40</v>
      </c>
      <c r="E31" s="68" t="s">
        <v>41</v>
      </c>
      <c r="F31" s="68" t="s">
        <v>42</v>
      </c>
      <c r="G31" s="68" t="s">
        <v>43</v>
      </c>
      <c r="H31" s="68" t="s">
        <v>44</v>
      </c>
      <c r="I31" s="68" t="s">
        <v>45</v>
      </c>
      <c r="J31" s="68" t="s">
        <v>64</v>
      </c>
      <c r="K31" s="68" t="s">
        <v>46</v>
      </c>
      <c r="L31" s="68" t="s">
        <v>7</v>
      </c>
      <c r="M31" s="68" t="s">
        <v>76</v>
      </c>
      <c r="N31" s="68" t="s">
        <v>47</v>
      </c>
      <c r="O31" s="68" t="s">
        <v>48</v>
      </c>
      <c r="P31" s="57" t="s">
        <v>49</v>
      </c>
      <c r="Q31" s="50" t="s">
        <v>0</v>
      </c>
    </row>
    <row r="32" spans="1:17" x14ac:dyDescent="0.2">
      <c r="A32" s="49" t="s">
        <v>8</v>
      </c>
      <c r="B32" s="53" t="s">
        <v>132</v>
      </c>
      <c r="C32" s="67" t="s">
        <v>132</v>
      </c>
      <c r="D32" s="67" t="s">
        <v>132</v>
      </c>
      <c r="E32" s="67">
        <v>8.3967041110145902E-4</v>
      </c>
      <c r="F32" s="67" t="s">
        <v>132</v>
      </c>
      <c r="G32" s="67">
        <v>4.86765455710991E-5</v>
      </c>
      <c r="H32" s="67" t="s">
        <v>132</v>
      </c>
      <c r="I32" s="67">
        <v>8.1127575951831798E-5</v>
      </c>
      <c r="J32" s="67">
        <v>6.7335888040020401E-4</v>
      </c>
      <c r="K32" s="67">
        <v>2.31213591462721E-4</v>
      </c>
      <c r="L32" s="67">
        <v>2.0281893987957899E-5</v>
      </c>
      <c r="M32" s="67">
        <v>2.0281893987957899E-5</v>
      </c>
      <c r="N32" s="67" t="s">
        <v>132</v>
      </c>
      <c r="O32" s="67" t="s">
        <v>132</v>
      </c>
      <c r="P32" s="56">
        <v>9.3296712344606502E-5</v>
      </c>
      <c r="Q32" s="58">
        <v>2.0079075048078372E-3</v>
      </c>
    </row>
    <row r="33" spans="1:17" x14ac:dyDescent="0.2">
      <c r="A33" s="48" t="s">
        <v>9</v>
      </c>
      <c r="B33" s="54">
        <v>1.2574774272533899E-3</v>
      </c>
      <c r="C33" s="66" t="s">
        <v>132</v>
      </c>
      <c r="D33" s="66">
        <v>1.5292548066920301E-3</v>
      </c>
      <c r="E33" s="66">
        <v>6.4496422881706299E-4</v>
      </c>
      <c r="F33" s="66">
        <v>4.1375063735434199E-4</v>
      </c>
      <c r="G33" s="66">
        <v>2.9205927342659398E-4</v>
      </c>
      <c r="H33" s="66">
        <v>8.1127575951831794E-6</v>
      </c>
      <c r="I33" s="66">
        <v>2.6366462184345302E-4</v>
      </c>
      <c r="J33" s="66">
        <v>4.4620166773507503E-5</v>
      </c>
      <c r="K33" s="66">
        <v>7.0175353198334502E-4</v>
      </c>
      <c r="L33" s="66">
        <v>1.3588868971931799E-3</v>
      </c>
      <c r="M33" s="66">
        <v>5.5572389527004803E-4</v>
      </c>
      <c r="N33" s="66" t="s">
        <v>132</v>
      </c>
      <c r="O33" s="66">
        <v>1.21691363927748E-5</v>
      </c>
      <c r="P33" s="55">
        <v>1.21691363927748E-5</v>
      </c>
      <c r="Q33" s="59">
        <v>7.094606516987686E-3</v>
      </c>
    </row>
    <row r="34" spans="1:17" x14ac:dyDescent="0.2">
      <c r="A34" s="49" t="s">
        <v>10</v>
      </c>
      <c r="B34" s="53">
        <v>8.1127575951831794E-6</v>
      </c>
      <c r="C34" s="67">
        <v>4.0563787975915897E-6</v>
      </c>
      <c r="D34" s="67">
        <v>8.1127575951831794E-6</v>
      </c>
      <c r="E34" s="67">
        <v>3.0828478861696099E-4</v>
      </c>
      <c r="F34" s="67" t="s">
        <v>132</v>
      </c>
      <c r="G34" s="67">
        <v>1.21691363927748E-5</v>
      </c>
      <c r="H34" s="67" t="s">
        <v>132</v>
      </c>
      <c r="I34" s="67">
        <v>3.6507409178324302E-5</v>
      </c>
      <c r="J34" s="67">
        <v>2.4338272785549499E-5</v>
      </c>
      <c r="K34" s="67" t="s">
        <v>132</v>
      </c>
      <c r="L34" s="67">
        <v>1.09522227534973E-4</v>
      </c>
      <c r="M34" s="67">
        <v>2.19044455069946E-4</v>
      </c>
      <c r="N34" s="67" t="s">
        <v>132</v>
      </c>
      <c r="O34" s="67" t="s">
        <v>132</v>
      </c>
      <c r="P34" s="56">
        <v>8.1127575951831794E-6</v>
      </c>
      <c r="Q34" s="58">
        <v>7.3826094116166978E-4</v>
      </c>
    </row>
    <row r="35" spans="1:17" x14ac:dyDescent="0.2">
      <c r="A35" s="48" t="s">
        <v>11</v>
      </c>
      <c r="B35" s="54" t="s">
        <v>132</v>
      </c>
      <c r="C35" s="66" t="s">
        <v>132</v>
      </c>
      <c r="D35" s="66">
        <v>1.2980412152293101E-4</v>
      </c>
      <c r="E35" s="66">
        <v>2.1093169747476301E-4</v>
      </c>
      <c r="F35" s="66" t="s">
        <v>132</v>
      </c>
      <c r="G35" s="66" t="s">
        <v>132</v>
      </c>
      <c r="H35" s="66" t="s">
        <v>132</v>
      </c>
      <c r="I35" s="66" t="s">
        <v>132</v>
      </c>
      <c r="J35" s="66">
        <v>4.8676545571099098E-4</v>
      </c>
      <c r="K35" s="66" t="s">
        <v>132</v>
      </c>
      <c r="L35" s="66">
        <v>3.7318684937842601E-4</v>
      </c>
      <c r="M35" s="66">
        <v>4.9893459210376601E-4</v>
      </c>
      <c r="N35" s="66" t="s">
        <v>132</v>
      </c>
      <c r="O35" s="66">
        <v>1.62255151903664E-5</v>
      </c>
      <c r="P35" s="55">
        <v>4.0563787975915897E-6</v>
      </c>
      <c r="Q35" s="59">
        <v>1.7199046101788349E-3</v>
      </c>
    </row>
    <row r="36" spans="1:17" x14ac:dyDescent="0.2">
      <c r="A36" s="49" t="s">
        <v>12</v>
      </c>
      <c r="B36" s="53" t="s">
        <v>132</v>
      </c>
      <c r="C36" s="67" t="s">
        <v>132</v>
      </c>
      <c r="D36" s="67" t="s">
        <v>132</v>
      </c>
      <c r="E36" s="67">
        <v>1.21691363927748E-5</v>
      </c>
      <c r="F36" s="67">
        <v>8.1127575951831794E-6</v>
      </c>
      <c r="G36" s="67" t="s">
        <v>132</v>
      </c>
      <c r="H36" s="67" t="s">
        <v>132</v>
      </c>
      <c r="I36" s="67" t="s">
        <v>132</v>
      </c>
      <c r="J36" s="67">
        <v>5.6789303166282302E-5</v>
      </c>
      <c r="K36" s="67">
        <v>2.4338272785549499E-5</v>
      </c>
      <c r="L36" s="67">
        <v>2.31213591462721E-4</v>
      </c>
      <c r="M36" s="67">
        <v>1.28181570003894E-3</v>
      </c>
      <c r="N36" s="67">
        <v>2.0281893987957899E-5</v>
      </c>
      <c r="O36" s="67">
        <v>4.4620166773507503E-5</v>
      </c>
      <c r="P36" s="56" t="s">
        <v>132</v>
      </c>
      <c r="Q36" s="58">
        <v>1.6793408222029163E-3</v>
      </c>
    </row>
    <row r="37" spans="1:17" x14ac:dyDescent="0.2">
      <c r="A37" s="48" t="s">
        <v>13</v>
      </c>
      <c r="B37" s="54" t="s">
        <v>132</v>
      </c>
      <c r="C37" s="66" t="s">
        <v>132</v>
      </c>
      <c r="D37" s="66" t="s">
        <v>132</v>
      </c>
      <c r="E37" s="66" t="s">
        <v>132</v>
      </c>
      <c r="F37" s="66" t="s">
        <v>132</v>
      </c>
      <c r="G37" s="66" t="s">
        <v>132</v>
      </c>
      <c r="H37" s="66" t="s">
        <v>132</v>
      </c>
      <c r="I37" s="66" t="s">
        <v>132</v>
      </c>
      <c r="J37" s="66" t="s">
        <v>132</v>
      </c>
      <c r="K37" s="66" t="s">
        <v>132</v>
      </c>
      <c r="L37" s="66">
        <v>4.0563787975915897E-6</v>
      </c>
      <c r="M37" s="66" t="s">
        <v>132</v>
      </c>
      <c r="N37" s="66" t="s">
        <v>132</v>
      </c>
      <c r="O37" s="66" t="s">
        <v>132</v>
      </c>
      <c r="P37" s="55" t="s">
        <v>132</v>
      </c>
      <c r="Q37" s="59">
        <v>4.0563787975915897E-6</v>
      </c>
    </row>
    <row r="38" spans="1:17" x14ac:dyDescent="0.2">
      <c r="A38" s="49" t="s">
        <v>14</v>
      </c>
      <c r="B38" s="53" t="s">
        <v>132</v>
      </c>
      <c r="C38" s="67" t="s">
        <v>132</v>
      </c>
      <c r="D38" s="67" t="s">
        <v>132</v>
      </c>
      <c r="E38" s="67" t="s">
        <v>132</v>
      </c>
      <c r="F38" s="67" t="s">
        <v>132</v>
      </c>
      <c r="G38" s="67" t="s">
        <v>132</v>
      </c>
      <c r="H38" s="67" t="s">
        <v>132</v>
      </c>
      <c r="I38" s="67" t="s">
        <v>132</v>
      </c>
      <c r="J38" s="67" t="s">
        <v>132</v>
      </c>
      <c r="K38" s="67" t="s">
        <v>132</v>
      </c>
      <c r="L38" s="67">
        <v>2.4338272785549499E-5</v>
      </c>
      <c r="M38" s="67">
        <v>4.0563787975915897E-6</v>
      </c>
      <c r="N38" s="67" t="s">
        <v>132</v>
      </c>
      <c r="O38" s="67" t="s">
        <v>132</v>
      </c>
      <c r="P38" s="56" t="s">
        <v>132</v>
      </c>
      <c r="Q38" s="58">
        <v>2.839465158314109E-5</v>
      </c>
    </row>
    <row r="39" spans="1:17" x14ac:dyDescent="0.2">
      <c r="A39" s="48" t="s">
        <v>15</v>
      </c>
      <c r="B39" s="54" t="s">
        <v>132</v>
      </c>
      <c r="C39" s="66" t="s">
        <v>132</v>
      </c>
      <c r="D39" s="66" t="s">
        <v>132</v>
      </c>
      <c r="E39" s="66" t="s">
        <v>132</v>
      </c>
      <c r="F39" s="66" t="s">
        <v>132</v>
      </c>
      <c r="G39" s="66" t="s">
        <v>132</v>
      </c>
      <c r="H39" s="66" t="s">
        <v>132</v>
      </c>
      <c r="I39" s="66" t="s">
        <v>132</v>
      </c>
      <c r="J39" s="66" t="s">
        <v>132</v>
      </c>
      <c r="K39" s="66" t="s">
        <v>132</v>
      </c>
      <c r="L39" s="66">
        <v>2.8800289462900302E-4</v>
      </c>
      <c r="M39" s="66">
        <v>1.05465848737381E-4</v>
      </c>
      <c r="N39" s="66" t="s">
        <v>132</v>
      </c>
      <c r="O39" s="66" t="s">
        <v>132</v>
      </c>
      <c r="P39" s="55" t="s">
        <v>132</v>
      </c>
      <c r="Q39" s="59">
        <v>3.9346874336638403E-4</v>
      </c>
    </row>
    <row r="40" spans="1:17" x14ac:dyDescent="0.2">
      <c r="A40" s="49" t="s">
        <v>16</v>
      </c>
      <c r="B40" s="53" t="s">
        <v>132</v>
      </c>
      <c r="C40" s="67" t="s">
        <v>132</v>
      </c>
      <c r="D40" s="67" t="s">
        <v>132</v>
      </c>
      <c r="E40" s="67" t="s">
        <v>132</v>
      </c>
      <c r="F40" s="67" t="s">
        <v>132</v>
      </c>
      <c r="G40" s="67" t="s">
        <v>132</v>
      </c>
      <c r="H40" s="67" t="s">
        <v>132</v>
      </c>
      <c r="I40" s="67" t="s">
        <v>132</v>
      </c>
      <c r="J40" s="67" t="s">
        <v>132</v>
      </c>
      <c r="K40" s="67" t="s">
        <v>132</v>
      </c>
      <c r="L40" s="67" t="s">
        <v>132</v>
      </c>
      <c r="M40" s="67">
        <v>8.1127575951831794E-6</v>
      </c>
      <c r="N40" s="67" t="s">
        <v>132</v>
      </c>
      <c r="O40" s="67" t="s">
        <v>132</v>
      </c>
      <c r="P40" s="56" t="s">
        <v>132</v>
      </c>
      <c r="Q40" s="58">
        <v>8.1127575951831794E-6</v>
      </c>
    </row>
    <row r="41" spans="1:17" x14ac:dyDescent="0.2">
      <c r="A41" s="48" t="s">
        <v>17</v>
      </c>
      <c r="B41" s="54" t="s">
        <v>132</v>
      </c>
      <c r="C41" s="66" t="s">
        <v>132</v>
      </c>
      <c r="D41" s="66" t="s">
        <v>132</v>
      </c>
      <c r="E41" s="66">
        <v>2.83946515831411E-5</v>
      </c>
      <c r="F41" s="66" t="s">
        <v>132</v>
      </c>
      <c r="G41" s="66" t="s">
        <v>132</v>
      </c>
      <c r="H41" s="66" t="s">
        <v>132</v>
      </c>
      <c r="I41" s="66" t="s">
        <v>132</v>
      </c>
      <c r="J41" s="66" t="s">
        <v>132</v>
      </c>
      <c r="K41" s="66" t="s">
        <v>132</v>
      </c>
      <c r="L41" s="66" t="s">
        <v>132</v>
      </c>
      <c r="M41" s="66">
        <v>8.1127575951831798E-5</v>
      </c>
      <c r="N41" s="66" t="s">
        <v>132</v>
      </c>
      <c r="O41" s="66" t="s">
        <v>132</v>
      </c>
      <c r="P41" s="55" t="s">
        <v>132</v>
      </c>
      <c r="Q41" s="59">
        <v>1.095222275349729E-4</v>
      </c>
    </row>
    <row r="42" spans="1:17" x14ac:dyDescent="0.2">
      <c r="A42" s="49" t="s">
        <v>89</v>
      </c>
      <c r="B42" s="53" t="s">
        <v>132</v>
      </c>
      <c r="C42" s="67" t="s">
        <v>132</v>
      </c>
      <c r="D42" s="67" t="s">
        <v>132</v>
      </c>
      <c r="E42" s="67" t="s">
        <v>132</v>
      </c>
      <c r="F42" s="67" t="s">
        <v>132</v>
      </c>
      <c r="G42" s="67" t="s">
        <v>132</v>
      </c>
      <c r="H42" s="67" t="s">
        <v>132</v>
      </c>
      <c r="I42" s="67" t="s">
        <v>132</v>
      </c>
      <c r="J42" s="67" t="s">
        <v>132</v>
      </c>
      <c r="K42" s="67" t="s">
        <v>132</v>
      </c>
      <c r="L42" s="67" t="s">
        <v>132</v>
      </c>
      <c r="M42" s="67" t="s">
        <v>132</v>
      </c>
      <c r="N42" s="67" t="s">
        <v>132</v>
      </c>
      <c r="O42" s="67" t="s">
        <v>132</v>
      </c>
      <c r="P42" s="56" t="s">
        <v>132</v>
      </c>
      <c r="Q42" s="58" t="s">
        <v>132</v>
      </c>
    </row>
    <row r="43" spans="1:17" x14ac:dyDescent="0.2">
      <c r="A43" s="48" t="s">
        <v>79</v>
      </c>
      <c r="B43" s="54" t="s">
        <v>132</v>
      </c>
      <c r="C43" s="66" t="s">
        <v>132</v>
      </c>
      <c r="D43" s="66" t="s">
        <v>132</v>
      </c>
      <c r="E43" s="66" t="s">
        <v>132</v>
      </c>
      <c r="F43" s="66" t="s">
        <v>132</v>
      </c>
      <c r="G43" s="66" t="s">
        <v>132</v>
      </c>
      <c r="H43" s="66" t="s">
        <v>132</v>
      </c>
      <c r="I43" s="66" t="s">
        <v>132</v>
      </c>
      <c r="J43" s="66" t="s">
        <v>132</v>
      </c>
      <c r="K43" s="66" t="s">
        <v>132</v>
      </c>
      <c r="L43" s="66">
        <v>8.1127575951831794E-6</v>
      </c>
      <c r="M43" s="66">
        <v>4.0563787975915897E-6</v>
      </c>
      <c r="N43" s="66" t="s">
        <v>132</v>
      </c>
      <c r="O43" s="66" t="s">
        <v>132</v>
      </c>
      <c r="P43" s="55" t="s">
        <v>132</v>
      </c>
      <c r="Q43" s="59">
        <v>1.2169136392774768E-5</v>
      </c>
    </row>
    <row r="44" spans="1:17" x14ac:dyDescent="0.2">
      <c r="A44" s="49" t="s">
        <v>80</v>
      </c>
      <c r="B44" s="53" t="s">
        <v>132</v>
      </c>
      <c r="C44" s="67" t="s">
        <v>132</v>
      </c>
      <c r="D44" s="67" t="s">
        <v>132</v>
      </c>
      <c r="E44" s="67">
        <v>4.0563787975915897E-6</v>
      </c>
      <c r="F44" s="67" t="s">
        <v>132</v>
      </c>
      <c r="G44" s="67" t="s">
        <v>132</v>
      </c>
      <c r="H44" s="67" t="s">
        <v>132</v>
      </c>
      <c r="I44" s="67" t="s">
        <v>132</v>
      </c>
      <c r="J44" s="67" t="s">
        <v>132</v>
      </c>
      <c r="K44" s="67" t="s">
        <v>132</v>
      </c>
      <c r="L44" s="67">
        <v>3.6507409178324302E-5</v>
      </c>
      <c r="M44" s="67">
        <v>1.9064980348680499E-4</v>
      </c>
      <c r="N44" s="67" t="s">
        <v>132</v>
      </c>
      <c r="O44" s="67" t="s">
        <v>132</v>
      </c>
      <c r="P44" s="56">
        <v>3.6507409178324302E-5</v>
      </c>
      <c r="Q44" s="58">
        <v>2.6772100064104522E-4</v>
      </c>
    </row>
    <row r="45" spans="1:17" x14ac:dyDescent="0.2">
      <c r="A45" s="48" t="s">
        <v>18</v>
      </c>
      <c r="B45" s="54" t="s">
        <v>132</v>
      </c>
      <c r="C45" s="66" t="s">
        <v>132</v>
      </c>
      <c r="D45" s="66" t="s">
        <v>132</v>
      </c>
      <c r="E45" s="66" t="s">
        <v>132</v>
      </c>
      <c r="F45" s="66" t="s">
        <v>132</v>
      </c>
      <c r="G45" s="66" t="s">
        <v>132</v>
      </c>
      <c r="H45" s="66" t="s">
        <v>132</v>
      </c>
      <c r="I45" s="66" t="s">
        <v>132</v>
      </c>
      <c r="J45" s="66" t="s">
        <v>132</v>
      </c>
      <c r="K45" s="66" t="s">
        <v>132</v>
      </c>
      <c r="L45" s="66" t="s">
        <v>132</v>
      </c>
      <c r="M45" s="66" t="s">
        <v>132</v>
      </c>
      <c r="N45" s="66" t="s">
        <v>132</v>
      </c>
      <c r="O45" s="66" t="s">
        <v>132</v>
      </c>
      <c r="P45" s="55" t="s">
        <v>132</v>
      </c>
      <c r="Q45" s="59" t="s">
        <v>132</v>
      </c>
    </row>
    <row r="46" spans="1:17" x14ac:dyDescent="0.2">
      <c r="A46" s="49" t="s">
        <v>78</v>
      </c>
      <c r="B46" s="53" t="s">
        <v>132</v>
      </c>
      <c r="C46" s="67" t="s">
        <v>132</v>
      </c>
      <c r="D46" s="67" t="s">
        <v>132</v>
      </c>
      <c r="E46" s="67">
        <v>3.36679440200102E-4</v>
      </c>
      <c r="F46" s="67" t="s">
        <v>132</v>
      </c>
      <c r="G46" s="67" t="s">
        <v>132</v>
      </c>
      <c r="H46" s="67" t="s">
        <v>132</v>
      </c>
      <c r="I46" s="67" t="s">
        <v>132</v>
      </c>
      <c r="J46" s="67" t="s">
        <v>132</v>
      </c>
      <c r="K46" s="67" t="s">
        <v>132</v>
      </c>
      <c r="L46" s="67">
        <v>1.62255151903664E-5</v>
      </c>
      <c r="M46" s="67" t="s">
        <v>132</v>
      </c>
      <c r="N46" s="67" t="s">
        <v>132</v>
      </c>
      <c r="O46" s="67" t="s">
        <v>132</v>
      </c>
      <c r="P46" s="56" t="s">
        <v>132</v>
      </c>
      <c r="Q46" s="58">
        <v>3.5290495539046842E-4</v>
      </c>
    </row>
    <row r="47" spans="1:17" x14ac:dyDescent="0.2">
      <c r="A47" s="48" t="s">
        <v>33</v>
      </c>
      <c r="B47" s="54">
        <v>3.5290495539046799E-4</v>
      </c>
      <c r="C47" s="66">
        <v>9.93812805409939E-4</v>
      </c>
      <c r="D47" s="66" t="s">
        <v>132</v>
      </c>
      <c r="E47" s="66">
        <v>1.5657622158703501E-3</v>
      </c>
      <c r="F47" s="66" t="s">
        <v>132</v>
      </c>
      <c r="G47" s="66">
        <v>1.09522227534973E-4</v>
      </c>
      <c r="H47" s="66">
        <v>2.75833758236228E-4</v>
      </c>
      <c r="I47" s="66">
        <v>1.3345486244076301E-3</v>
      </c>
      <c r="J47" s="66" t="s">
        <v>132</v>
      </c>
      <c r="K47" s="66">
        <v>5.2732924368690698E-5</v>
      </c>
      <c r="L47" s="66">
        <v>3.0138894466105498E-3</v>
      </c>
      <c r="M47" s="66">
        <v>5.3544200128209001E-4</v>
      </c>
      <c r="N47" s="66" t="s">
        <v>132</v>
      </c>
      <c r="O47" s="66" t="s">
        <v>132</v>
      </c>
      <c r="P47" s="55">
        <v>2.4338272785549499E-5</v>
      </c>
      <c r="Q47" s="59">
        <v>8.2587872318964691E-3</v>
      </c>
    </row>
    <row r="48" spans="1:17" x14ac:dyDescent="0.2">
      <c r="A48" s="49" t="s">
        <v>34</v>
      </c>
      <c r="B48" s="53">
        <v>1.7036790949884699E-4</v>
      </c>
      <c r="C48" s="67">
        <v>4.9082183450858204E-4</v>
      </c>
      <c r="D48" s="67">
        <v>8.1127575951831798E-5</v>
      </c>
      <c r="E48" s="67">
        <v>4.4620166773507503E-5</v>
      </c>
      <c r="F48" s="67" t="s">
        <v>132</v>
      </c>
      <c r="G48" s="67" t="s">
        <v>132</v>
      </c>
      <c r="H48" s="67">
        <v>4.74596319318216E-4</v>
      </c>
      <c r="I48" s="67">
        <v>3.2451030380732697E-5</v>
      </c>
      <c r="J48" s="67" t="s">
        <v>132</v>
      </c>
      <c r="K48" s="67" t="s">
        <v>132</v>
      </c>
      <c r="L48" s="67">
        <v>1.82537045891622E-4</v>
      </c>
      <c r="M48" s="67" t="s">
        <v>132</v>
      </c>
      <c r="N48" s="67" t="s">
        <v>132</v>
      </c>
      <c r="O48" s="67" t="s">
        <v>132</v>
      </c>
      <c r="P48" s="56" t="s">
        <v>132</v>
      </c>
      <c r="Q48" s="58">
        <v>1.4765218823233389E-3</v>
      </c>
    </row>
    <row r="49" spans="1:17" x14ac:dyDescent="0.2">
      <c r="A49" s="48" t="s">
        <v>35</v>
      </c>
      <c r="B49" s="54">
        <v>2.19044455069946E-4</v>
      </c>
      <c r="C49" s="66">
        <v>5.7194941046041401E-4</v>
      </c>
      <c r="D49" s="66" t="s">
        <v>132</v>
      </c>
      <c r="E49" s="66" t="s">
        <v>132</v>
      </c>
      <c r="F49" s="66" t="s">
        <v>132</v>
      </c>
      <c r="G49" s="66" t="s">
        <v>132</v>
      </c>
      <c r="H49" s="66" t="s">
        <v>132</v>
      </c>
      <c r="I49" s="66">
        <v>1.05465848737381E-4</v>
      </c>
      <c r="J49" s="66" t="s">
        <v>132</v>
      </c>
      <c r="K49" s="66" t="s">
        <v>132</v>
      </c>
      <c r="L49" s="66">
        <v>5.67893031662822E-5</v>
      </c>
      <c r="M49" s="66">
        <v>2.0281893987957899E-5</v>
      </c>
      <c r="N49" s="66" t="s">
        <v>132</v>
      </c>
      <c r="O49" s="66" t="s">
        <v>132</v>
      </c>
      <c r="P49" s="55" t="s">
        <v>132</v>
      </c>
      <c r="Q49" s="59">
        <v>9.7353091142198108E-4</v>
      </c>
    </row>
    <row r="50" spans="1:17" x14ac:dyDescent="0.2">
      <c r="A50" s="49" t="s">
        <v>36</v>
      </c>
      <c r="B50" s="53" t="s">
        <v>132</v>
      </c>
      <c r="C50" s="67" t="s">
        <v>132</v>
      </c>
      <c r="D50" s="67" t="s">
        <v>132</v>
      </c>
      <c r="E50" s="67" t="s">
        <v>132</v>
      </c>
      <c r="F50" s="67" t="s">
        <v>132</v>
      </c>
      <c r="G50" s="67" t="s">
        <v>132</v>
      </c>
      <c r="H50" s="67" t="s">
        <v>132</v>
      </c>
      <c r="I50" s="67" t="s">
        <v>132</v>
      </c>
      <c r="J50" s="67" t="s">
        <v>132</v>
      </c>
      <c r="K50" s="67" t="s">
        <v>132</v>
      </c>
      <c r="L50" s="67" t="s">
        <v>132</v>
      </c>
      <c r="M50" s="67">
        <v>4.86765455710991E-5</v>
      </c>
      <c r="N50" s="67" t="s">
        <v>132</v>
      </c>
      <c r="O50" s="67" t="s">
        <v>132</v>
      </c>
      <c r="P50" s="56" t="s">
        <v>132</v>
      </c>
      <c r="Q50" s="58">
        <v>4.86765455710991E-5</v>
      </c>
    </row>
    <row r="51" spans="1:17" x14ac:dyDescent="0.2">
      <c r="A51" s="48" t="s">
        <v>6</v>
      </c>
      <c r="B51" s="54">
        <v>3.81299606973609E-4</v>
      </c>
      <c r="C51" s="66">
        <v>4.2997615254470798E-4</v>
      </c>
      <c r="D51" s="66" t="s">
        <v>132</v>
      </c>
      <c r="E51" s="66">
        <v>2.2310083386753701E-4</v>
      </c>
      <c r="F51" s="66">
        <v>1.21691363927748E-5</v>
      </c>
      <c r="G51" s="66">
        <v>6.4902060761465395E-5</v>
      </c>
      <c r="H51" s="66" t="s">
        <v>132</v>
      </c>
      <c r="I51" s="66" t="s">
        <v>132</v>
      </c>
      <c r="J51" s="66" t="s">
        <v>132</v>
      </c>
      <c r="K51" s="66">
        <v>4.4620166773507503E-5</v>
      </c>
      <c r="L51" s="66">
        <v>2.06875318677171E-4</v>
      </c>
      <c r="M51" s="66">
        <v>3.6101771298565098E-4</v>
      </c>
      <c r="N51" s="66" t="s">
        <v>132</v>
      </c>
      <c r="O51" s="66" t="s">
        <v>132</v>
      </c>
      <c r="P51" s="55" t="s">
        <v>132</v>
      </c>
      <c r="Q51" s="59">
        <v>1.7239609889764236E-3</v>
      </c>
    </row>
    <row r="52" spans="1:17" ht="13.5" thickBot="1" x14ac:dyDescent="0.25">
      <c r="A52" s="49" t="s">
        <v>37</v>
      </c>
      <c r="B52" s="53" t="s">
        <v>132</v>
      </c>
      <c r="C52" s="67">
        <v>5.67893031662822E-5</v>
      </c>
      <c r="D52" s="67" t="s">
        <v>132</v>
      </c>
      <c r="E52" s="67">
        <v>8.1127575951831794E-6</v>
      </c>
      <c r="F52" s="67" t="s">
        <v>132</v>
      </c>
      <c r="G52" s="67">
        <v>1.25747742725339E-4</v>
      </c>
      <c r="H52" s="67" t="s">
        <v>132</v>
      </c>
      <c r="I52" s="67" t="s">
        <v>132</v>
      </c>
      <c r="J52" s="67">
        <v>1.7848066709403001E-4</v>
      </c>
      <c r="K52" s="67">
        <v>8.5183954749423402E-5</v>
      </c>
      <c r="L52" s="67">
        <v>2.6407025972321201E-3</v>
      </c>
      <c r="M52" s="67">
        <v>7.0986628957852801E-4</v>
      </c>
      <c r="N52" s="67" t="s">
        <v>132</v>
      </c>
      <c r="O52" s="67" t="s">
        <v>132</v>
      </c>
      <c r="P52" s="56" t="s">
        <v>132</v>
      </c>
      <c r="Q52" s="58">
        <v>3.8048833121409062E-3</v>
      </c>
    </row>
    <row r="53" spans="1:17" ht="14.25" thickTop="1" thickBot="1" x14ac:dyDescent="0.25">
      <c r="A53" s="60" t="s">
        <v>0</v>
      </c>
      <c r="B53" s="61">
        <v>2.389207111781443E-3</v>
      </c>
      <c r="C53" s="62">
        <v>2.547405884887517E-3</v>
      </c>
      <c r="D53" s="62">
        <v>1.7482992617619761E-3</v>
      </c>
      <c r="E53" s="62">
        <v>4.2267467070904331E-3</v>
      </c>
      <c r="F53" s="62">
        <v>4.3403253134229996E-4</v>
      </c>
      <c r="G53" s="62">
        <v>6.5307698641224523E-4</v>
      </c>
      <c r="H53" s="62">
        <v>7.5854283514962715E-4</v>
      </c>
      <c r="I53" s="62">
        <v>1.8537651104993528E-3</v>
      </c>
      <c r="J53" s="62">
        <v>1.4643527459305642E-3</v>
      </c>
      <c r="K53" s="62">
        <v>1.1398424421232372E-3</v>
      </c>
      <c r="L53" s="62">
        <v>8.5711283993110208E-3</v>
      </c>
      <c r="M53" s="62">
        <v>4.644553723242368E-3</v>
      </c>
      <c r="N53" s="62">
        <v>2.0281893987957899E-5</v>
      </c>
      <c r="O53" s="62">
        <v>7.3014818356648711E-5</v>
      </c>
      <c r="P53" s="63">
        <v>1.7848066709402985E-4</v>
      </c>
      <c r="Q53" s="64">
        <v>3.0702731118970723E-2</v>
      </c>
    </row>
    <row r="56" spans="1:17" ht="15" x14ac:dyDescent="0.25">
      <c r="A56" s="109" t="s">
        <v>116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</row>
    <row r="57" spans="1:17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7" ht="13.5" thickBot="1" x14ac:dyDescent="0.25">
      <c r="A58" s="31" t="s">
        <v>133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1:17" ht="39" thickBot="1" x14ac:dyDescent="0.25">
      <c r="A59" s="51" t="s">
        <v>88</v>
      </c>
      <c r="B59" s="52" t="s">
        <v>38</v>
      </c>
      <c r="C59" s="68" t="s">
        <v>39</v>
      </c>
      <c r="D59" s="68" t="s">
        <v>40</v>
      </c>
      <c r="E59" s="68" t="s">
        <v>41</v>
      </c>
      <c r="F59" s="68" t="s">
        <v>42</v>
      </c>
      <c r="G59" s="68" t="s">
        <v>43</v>
      </c>
      <c r="H59" s="68" t="s">
        <v>44</v>
      </c>
      <c r="I59" s="68" t="s">
        <v>45</v>
      </c>
      <c r="J59" s="68" t="s">
        <v>64</v>
      </c>
      <c r="K59" s="68" t="s">
        <v>46</v>
      </c>
      <c r="L59" s="68" t="s">
        <v>7</v>
      </c>
      <c r="M59" s="68" t="s">
        <v>76</v>
      </c>
      <c r="N59" s="68" t="s">
        <v>47</v>
      </c>
      <c r="O59" s="68" t="s">
        <v>48</v>
      </c>
      <c r="P59" s="57" t="s">
        <v>49</v>
      </c>
      <c r="Q59" s="50" t="s">
        <v>0</v>
      </c>
    </row>
    <row r="60" spans="1:17" x14ac:dyDescent="0.2">
      <c r="A60" s="49" t="s">
        <v>8</v>
      </c>
      <c r="B60" s="53" t="s">
        <v>132</v>
      </c>
      <c r="C60" s="67" t="s">
        <v>132</v>
      </c>
      <c r="D60" s="67" t="s">
        <v>132</v>
      </c>
      <c r="E60" s="67">
        <v>7.7195784815325703E-3</v>
      </c>
      <c r="F60" s="67" t="s">
        <v>132</v>
      </c>
      <c r="G60" s="67">
        <v>1.8423814991724499E-4</v>
      </c>
      <c r="H60" s="67" t="s">
        <v>132</v>
      </c>
      <c r="I60" s="67">
        <v>4.9744300477656204E-4</v>
      </c>
      <c r="J60" s="67">
        <v>1.1238527144951899E-2</v>
      </c>
      <c r="K60" s="67">
        <v>3.0012394621519202E-3</v>
      </c>
      <c r="L60" s="67">
        <v>4.4217155980138802E-4</v>
      </c>
      <c r="M60" s="67" t="s">
        <v>132</v>
      </c>
      <c r="N60" s="67" t="s">
        <v>132</v>
      </c>
      <c r="O60" s="67" t="s">
        <v>132</v>
      </c>
      <c r="P60" s="56" t="s">
        <v>132</v>
      </c>
      <c r="Q60" s="58">
        <v>2.3083197803131582E-2</v>
      </c>
    </row>
    <row r="61" spans="1:17" x14ac:dyDescent="0.2">
      <c r="A61" s="48" t="s">
        <v>9</v>
      </c>
      <c r="B61" s="54">
        <v>6.2825209121780603E-3</v>
      </c>
      <c r="C61" s="66" t="s">
        <v>132</v>
      </c>
      <c r="D61" s="66">
        <v>8.8526431035236292E-3</v>
      </c>
      <c r="E61" s="66">
        <v>1.8921257996501101E-2</v>
      </c>
      <c r="F61" s="66">
        <v>8.1156905038546508E-3</v>
      </c>
      <c r="G61" s="66">
        <v>2.32140068895729E-3</v>
      </c>
      <c r="H61" s="66">
        <v>3.6847629983449001E-5</v>
      </c>
      <c r="I61" s="66">
        <v>1.44626947685037E-3</v>
      </c>
      <c r="J61" s="66">
        <v>1.16070034447864E-3</v>
      </c>
      <c r="K61" s="66">
        <v>2.1629558800284599E-2</v>
      </c>
      <c r="L61" s="66">
        <v>1.47298400858837E-2</v>
      </c>
      <c r="M61" s="66">
        <v>1.1045077087538799E-2</v>
      </c>
      <c r="N61" s="66" t="s">
        <v>132</v>
      </c>
      <c r="O61" s="66" t="s">
        <v>132</v>
      </c>
      <c r="P61" s="55">
        <v>7.01947351184704E-4</v>
      </c>
      <c r="Q61" s="59">
        <v>9.5243753981218982E-2</v>
      </c>
    </row>
    <row r="62" spans="1:17" x14ac:dyDescent="0.2">
      <c r="A62" s="49" t="s">
        <v>10</v>
      </c>
      <c r="B62" s="53">
        <v>3.0399294736345401E-4</v>
      </c>
      <c r="C62" s="67">
        <v>1.8423814991724501E-5</v>
      </c>
      <c r="D62" s="67">
        <v>1.8423814991724501E-5</v>
      </c>
      <c r="E62" s="67">
        <v>2.38588404142832E-3</v>
      </c>
      <c r="F62" s="67">
        <v>5.5271444975173502E-5</v>
      </c>
      <c r="G62" s="67">
        <v>2.2108577990069401E-4</v>
      </c>
      <c r="H62" s="67">
        <v>2.7635722487586798E-5</v>
      </c>
      <c r="I62" s="67">
        <v>1.5660242742965801E-4</v>
      </c>
      <c r="J62" s="67">
        <v>3.6847629983448999E-4</v>
      </c>
      <c r="K62" s="67">
        <v>2.2108577990069401E-4</v>
      </c>
      <c r="L62" s="67">
        <v>1.0409455470324299E-3</v>
      </c>
      <c r="M62" s="67">
        <v>3.1965319010642001E-3</v>
      </c>
      <c r="N62" s="67" t="s">
        <v>132</v>
      </c>
      <c r="O62" s="67" t="s">
        <v>132</v>
      </c>
      <c r="P62" s="56">
        <v>1.8423814991724501E-5</v>
      </c>
      <c r="Q62" s="58">
        <v>8.0327833363918744E-3</v>
      </c>
    </row>
    <row r="63" spans="1:17" x14ac:dyDescent="0.2">
      <c r="A63" s="48" t="s">
        <v>11</v>
      </c>
      <c r="B63" s="54" t="s">
        <v>132</v>
      </c>
      <c r="C63" s="66" t="s">
        <v>132</v>
      </c>
      <c r="D63" s="66">
        <v>1.2159717894538199E-2</v>
      </c>
      <c r="E63" s="66">
        <v>3.8690011482621499E-3</v>
      </c>
      <c r="F63" s="66" t="s">
        <v>132</v>
      </c>
      <c r="G63" s="66" t="s">
        <v>132</v>
      </c>
      <c r="H63" s="66" t="s">
        <v>132</v>
      </c>
      <c r="I63" s="66">
        <v>5.5271444975173502E-5</v>
      </c>
      <c r="J63" s="66">
        <v>2.8532962277683802E-2</v>
      </c>
      <c r="K63" s="66">
        <v>3.0399294736345401E-4</v>
      </c>
      <c r="L63" s="66">
        <v>4.0624512056752502E-3</v>
      </c>
      <c r="M63" s="66">
        <v>5.9785279648145997E-3</v>
      </c>
      <c r="N63" s="66">
        <v>2.7635722487586801E-4</v>
      </c>
      <c r="O63" s="66" t="s">
        <v>132</v>
      </c>
      <c r="P63" s="55">
        <v>1.28966704942072E-4</v>
      </c>
      <c r="Q63" s="59">
        <v>5.5367248813130564E-2</v>
      </c>
    </row>
    <row r="64" spans="1:17" x14ac:dyDescent="0.2">
      <c r="A64" s="49" t="s">
        <v>12</v>
      </c>
      <c r="B64" s="53" t="s">
        <v>132</v>
      </c>
      <c r="C64" s="67" t="s">
        <v>132</v>
      </c>
      <c r="D64" s="67" t="s">
        <v>132</v>
      </c>
      <c r="E64" s="67">
        <v>2.3029768739655601E-4</v>
      </c>
      <c r="F64" s="67">
        <v>2.1187387240483201E-4</v>
      </c>
      <c r="G64" s="67">
        <v>5.5271444975173502E-5</v>
      </c>
      <c r="H64" s="67" t="s">
        <v>132</v>
      </c>
      <c r="I64" s="67" t="s">
        <v>132</v>
      </c>
      <c r="J64" s="67">
        <v>4.4309275055097403E-3</v>
      </c>
      <c r="K64" s="67">
        <v>5.8956207973518402E-4</v>
      </c>
      <c r="L64" s="67">
        <v>6.9457782518801397E-3</v>
      </c>
      <c r="M64" s="67">
        <v>2.98834279165771E-2</v>
      </c>
      <c r="N64" s="67" t="s">
        <v>132</v>
      </c>
      <c r="O64" s="67">
        <v>1.7502624242138299E-4</v>
      </c>
      <c r="P64" s="56" t="s">
        <v>132</v>
      </c>
      <c r="Q64" s="58">
        <v>4.2522165000900107E-2</v>
      </c>
    </row>
    <row r="65" spans="1:17" x14ac:dyDescent="0.2">
      <c r="A65" s="48" t="s">
        <v>13</v>
      </c>
      <c r="B65" s="54" t="s">
        <v>132</v>
      </c>
      <c r="C65" s="66" t="s">
        <v>132</v>
      </c>
      <c r="D65" s="66" t="s">
        <v>132</v>
      </c>
      <c r="E65" s="66" t="s">
        <v>132</v>
      </c>
      <c r="F65" s="66" t="s">
        <v>132</v>
      </c>
      <c r="G65" s="66" t="s">
        <v>132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>
        <v>1.93450057413107E-4</v>
      </c>
      <c r="M65" s="66">
        <v>1.6581433492552099E-4</v>
      </c>
      <c r="N65" s="66" t="s">
        <v>132</v>
      </c>
      <c r="O65" s="66" t="s">
        <v>132</v>
      </c>
      <c r="P65" s="55" t="s">
        <v>132</v>
      </c>
      <c r="Q65" s="59">
        <v>3.5926439233862798E-4</v>
      </c>
    </row>
    <row r="66" spans="1:17" x14ac:dyDescent="0.2">
      <c r="A66" s="49" t="s">
        <v>14</v>
      </c>
      <c r="B66" s="53" t="s">
        <v>132</v>
      </c>
      <c r="C66" s="67" t="s">
        <v>132</v>
      </c>
      <c r="D66" s="67" t="s">
        <v>132</v>
      </c>
      <c r="E66" s="67">
        <v>9.2119074958622503E-6</v>
      </c>
      <c r="F66" s="67" t="s">
        <v>132</v>
      </c>
      <c r="G66" s="67" t="s">
        <v>132</v>
      </c>
      <c r="H66" s="67" t="s">
        <v>132</v>
      </c>
      <c r="I66" s="67" t="s">
        <v>132</v>
      </c>
      <c r="J66" s="67" t="s">
        <v>132</v>
      </c>
      <c r="K66" s="67" t="s">
        <v>132</v>
      </c>
      <c r="L66" s="67">
        <v>2.5793340988414302E-4</v>
      </c>
      <c r="M66" s="67">
        <v>3.6847629983449001E-5</v>
      </c>
      <c r="N66" s="67" t="s">
        <v>132</v>
      </c>
      <c r="O66" s="67" t="s">
        <v>132</v>
      </c>
      <c r="P66" s="56" t="s">
        <v>132</v>
      </c>
      <c r="Q66" s="58">
        <v>3.0399294736345429E-4</v>
      </c>
    </row>
    <row r="67" spans="1:17" x14ac:dyDescent="0.2">
      <c r="A67" s="48" t="s">
        <v>15</v>
      </c>
      <c r="B67" s="54" t="s">
        <v>132</v>
      </c>
      <c r="C67" s="66" t="s">
        <v>132</v>
      </c>
      <c r="D67" s="66">
        <v>1.1975479744620899E-4</v>
      </c>
      <c r="E67" s="66" t="s">
        <v>132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>
        <v>8.2907167462760304E-5</v>
      </c>
      <c r="K67" s="66" t="s">
        <v>132</v>
      </c>
      <c r="L67" s="66">
        <v>4.27432507808009E-3</v>
      </c>
      <c r="M67" s="66">
        <v>4.3295965230552601E-4</v>
      </c>
      <c r="N67" s="66" t="s">
        <v>132</v>
      </c>
      <c r="O67" s="66" t="s">
        <v>132</v>
      </c>
      <c r="P67" s="55" t="s">
        <v>132</v>
      </c>
      <c r="Q67" s="59">
        <v>4.909946695294585E-3</v>
      </c>
    </row>
    <row r="68" spans="1:17" x14ac:dyDescent="0.2">
      <c r="A68" s="49" t="s">
        <v>16</v>
      </c>
      <c r="B68" s="53" t="s">
        <v>132</v>
      </c>
      <c r="C68" s="67" t="s">
        <v>132</v>
      </c>
      <c r="D68" s="67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 t="s">
        <v>132</v>
      </c>
      <c r="M68" s="67">
        <v>9.2119074958622503E-6</v>
      </c>
      <c r="N68" s="67" t="s">
        <v>132</v>
      </c>
      <c r="O68" s="67" t="s">
        <v>132</v>
      </c>
      <c r="P68" s="56" t="s">
        <v>132</v>
      </c>
      <c r="Q68" s="58">
        <v>9.2119074958622503E-6</v>
      </c>
    </row>
    <row r="69" spans="1:17" x14ac:dyDescent="0.2">
      <c r="A69" s="48" t="s">
        <v>17</v>
      </c>
      <c r="B69" s="54" t="s">
        <v>132</v>
      </c>
      <c r="C69" s="66" t="s">
        <v>132</v>
      </c>
      <c r="D69" s="66" t="s">
        <v>132</v>
      </c>
      <c r="E69" s="66">
        <v>1.1975479744620899E-4</v>
      </c>
      <c r="F69" s="66">
        <v>1.8423814991724501E-5</v>
      </c>
      <c r="G69" s="66" t="s">
        <v>132</v>
      </c>
      <c r="H69" s="66" t="s">
        <v>132</v>
      </c>
      <c r="I69" s="66" t="s">
        <v>132</v>
      </c>
      <c r="J69" s="66">
        <v>1.8423814991724501E-5</v>
      </c>
      <c r="K69" s="66" t="s">
        <v>132</v>
      </c>
      <c r="L69" s="66">
        <v>7.8301213714829199E-4</v>
      </c>
      <c r="M69" s="66">
        <v>7.3695259966898003E-5</v>
      </c>
      <c r="N69" s="66">
        <v>3.1320485485931699E-4</v>
      </c>
      <c r="O69" s="66" t="s">
        <v>132</v>
      </c>
      <c r="P69" s="55">
        <v>5.5271444975173502E-5</v>
      </c>
      <c r="Q69" s="59">
        <v>1.3817861243793383E-3</v>
      </c>
    </row>
    <row r="70" spans="1:17" x14ac:dyDescent="0.2">
      <c r="A70" s="49" t="s">
        <v>89</v>
      </c>
      <c r="B70" s="53" t="s">
        <v>132</v>
      </c>
      <c r="C70" s="67" t="s">
        <v>132</v>
      </c>
      <c r="D70" s="67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56" t="s">
        <v>132</v>
      </c>
      <c r="Q70" s="58" t="s">
        <v>132</v>
      </c>
    </row>
    <row r="71" spans="1:17" x14ac:dyDescent="0.2">
      <c r="A71" s="48" t="s">
        <v>79</v>
      </c>
      <c r="B71" s="54" t="s">
        <v>132</v>
      </c>
      <c r="C71" s="66" t="s">
        <v>132</v>
      </c>
      <c r="D71" s="66" t="s">
        <v>132</v>
      </c>
      <c r="E71" s="66">
        <v>1.14227652948692E-3</v>
      </c>
      <c r="F71" s="66" t="s">
        <v>132</v>
      </c>
      <c r="G71" s="66" t="s">
        <v>132</v>
      </c>
      <c r="H71" s="66" t="s">
        <v>132</v>
      </c>
      <c r="I71" s="66" t="s">
        <v>132</v>
      </c>
      <c r="J71" s="66" t="s">
        <v>132</v>
      </c>
      <c r="K71" s="66">
        <v>4.6059537479311303E-5</v>
      </c>
      <c r="L71" s="66">
        <v>1.8423814991724501E-5</v>
      </c>
      <c r="M71" s="66" t="s">
        <v>132</v>
      </c>
      <c r="N71" s="66" t="s">
        <v>132</v>
      </c>
      <c r="O71" s="66" t="s">
        <v>132</v>
      </c>
      <c r="P71" s="55" t="s">
        <v>132</v>
      </c>
      <c r="Q71" s="59">
        <v>1.2067598819579558E-3</v>
      </c>
    </row>
    <row r="72" spans="1:17" x14ac:dyDescent="0.2">
      <c r="A72" s="49" t="s">
        <v>80</v>
      </c>
      <c r="B72" s="53" t="s">
        <v>132</v>
      </c>
      <c r="C72" s="67" t="s">
        <v>132</v>
      </c>
      <c r="D72" s="67" t="s">
        <v>132</v>
      </c>
      <c r="E72" s="67" t="s">
        <v>132</v>
      </c>
      <c r="F72" s="67" t="s">
        <v>132</v>
      </c>
      <c r="G72" s="67">
        <v>9.2119074958622503E-6</v>
      </c>
      <c r="H72" s="67" t="s">
        <v>132</v>
      </c>
      <c r="I72" s="67" t="s">
        <v>132</v>
      </c>
      <c r="J72" s="67" t="s">
        <v>132</v>
      </c>
      <c r="K72" s="67" t="s">
        <v>132</v>
      </c>
      <c r="L72" s="67">
        <v>3.7768820733035199E-4</v>
      </c>
      <c r="M72" s="67">
        <v>7.0931687718139304E-4</v>
      </c>
      <c r="N72" s="67" t="s">
        <v>132</v>
      </c>
      <c r="O72" s="67" t="s">
        <v>132</v>
      </c>
      <c r="P72" s="56">
        <v>7.2774069217311802E-4</v>
      </c>
      <c r="Q72" s="58">
        <v>1.8239576841807253E-3</v>
      </c>
    </row>
    <row r="73" spans="1:17" x14ac:dyDescent="0.2">
      <c r="A73" s="48" t="s">
        <v>18</v>
      </c>
      <c r="B73" s="54" t="s">
        <v>132</v>
      </c>
      <c r="C73" s="66" t="s">
        <v>132</v>
      </c>
      <c r="D73" s="66" t="s">
        <v>132</v>
      </c>
      <c r="E73" s="66" t="s">
        <v>132</v>
      </c>
      <c r="F73" s="66" t="s">
        <v>132</v>
      </c>
      <c r="G73" s="66" t="s">
        <v>132</v>
      </c>
      <c r="H73" s="66" t="s">
        <v>132</v>
      </c>
      <c r="I73" s="66" t="s">
        <v>132</v>
      </c>
      <c r="J73" s="66" t="s">
        <v>132</v>
      </c>
      <c r="K73" s="66" t="s">
        <v>132</v>
      </c>
      <c r="L73" s="66" t="s">
        <v>132</v>
      </c>
      <c r="M73" s="66" t="s">
        <v>132</v>
      </c>
      <c r="N73" s="66" t="s">
        <v>132</v>
      </c>
      <c r="O73" s="66" t="s">
        <v>132</v>
      </c>
      <c r="P73" s="55" t="s">
        <v>132</v>
      </c>
      <c r="Q73" s="59" t="s">
        <v>132</v>
      </c>
    </row>
    <row r="74" spans="1:17" x14ac:dyDescent="0.2">
      <c r="A74" s="49" t="s">
        <v>78</v>
      </c>
      <c r="B74" s="53" t="s">
        <v>132</v>
      </c>
      <c r="C74" s="67" t="s">
        <v>132</v>
      </c>
      <c r="D74" s="67" t="s">
        <v>132</v>
      </c>
      <c r="E74" s="67">
        <v>1.10542889950347E-4</v>
      </c>
      <c r="F74" s="67" t="s">
        <v>132</v>
      </c>
      <c r="G74" s="67" t="s">
        <v>132</v>
      </c>
      <c r="H74" s="67">
        <v>9.2119074958622503E-6</v>
      </c>
      <c r="I74" s="67" t="s">
        <v>132</v>
      </c>
      <c r="J74" s="67" t="s">
        <v>132</v>
      </c>
      <c r="K74" s="67" t="s">
        <v>132</v>
      </c>
      <c r="L74" s="67">
        <v>1.8423814991724501E-5</v>
      </c>
      <c r="M74" s="67" t="s">
        <v>132</v>
      </c>
      <c r="N74" s="67" t="s">
        <v>132</v>
      </c>
      <c r="O74" s="67" t="s">
        <v>132</v>
      </c>
      <c r="P74" s="56" t="s">
        <v>132</v>
      </c>
      <c r="Q74" s="58">
        <v>1.3817861243793376E-4</v>
      </c>
    </row>
    <row r="75" spans="1:17" x14ac:dyDescent="0.2">
      <c r="A75" s="48" t="s">
        <v>33</v>
      </c>
      <c r="B75" s="54">
        <v>4.3480203380469803E-3</v>
      </c>
      <c r="C75" s="66">
        <v>6.4114876171201297E-3</v>
      </c>
      <c r="D75" s="66">
        <v>1.88844103665176E-3</v>
      </c>
      <c r="E75" s="66">
        <v>1.68485788099321E-2</v>
      </c>
      <c r="F75" s="66" t="s">
        <v>132</v>
      </c>
      <c r="G75" s="66">
        <v>2.3674602264366E-3</v>
      </c>
      <c r="H75" s="66">
        <v>1.11832556999768E-2</v>
      </c>
      <c r="I75" s="66">
        <v>2.81700131223468E-2</v>
      </c>
      <c r="J75" s="66">
        <v>3.31628669851041E-4</v>
      </c>
      <c r="K75" s="66">
        <v>8.2907167462760304E-4</v>
      </c>
      <c r="L75" s="66">
        <v>6.2069832707119799E-2</v>
      </c>
      <c r="M75" s="66">
        <v>6.4170147616176504E-3</v>
      </c>
      <c r="N75" s="66" t="s">
        <v>132</v>
      </c>
      <c r="O75" s="66" t="s">
        <v>132</v>
      </c>
      <c r="P75" s="55">
        <v>8.4749548961932705E-4</v>
      </c>
      <c r="Q75" s="59">
        <v>0.14171230015334657</v>
      </c>
    </row>
    <row r="76" spans="1:17" x14ac:dyDescent="0.2">
      <c r="A76" s="49" t="s">
        <v>34</v>
      </c>
      <c r="B76" s="53">
        <v>4.6888609153938896E-3</v>
      </c>
      <c r="C76" s="67">
        <v>6.1167065772525396E-3</v>
      </c>
      <c r="D76" s="67">
        <v>2.6714531738000503E-4</v>
      </c>
      <c r="E76" s="67" t="s">
        <v>132</v>
      </c>
      <c r="F76" s="67" t="s">
        <v>132</v>
      </c>
      <c r="G76" s="67" t="s">
        <v>132</v>
      </c>
      <c r="H76" s="67">
        <v>3.8459713795224899E-2</v>
      </c>
      <c r="I76" s="67">
        <v>1.64893144175934E-3</v>
      </c>
      <c r="J76" s="67" t="s">
        <v>132</v>
      </c>
      <c r="K76" s="67">
        <v>1.93450057413107E-4</v>
      </c>
      <c r="L76" s="67">
        <v>1.86080531416418E-3</v>
      </c>
      <c r="M76" s="67">
        <v>4.5138346729725002E-4</v>
      </c>
      <c r="N76" s="67" t="s">
        <v>132</v>
      </c>
      <c r="O76" s="67" t="s">
        <v>132</v>
      </c>
      <c r="P76" s="56" t="s">
        <v>132</v>
      </c>
      <c r="Q76" s="58">
        <v>5.3686996885885206E-2</v>
      </c>
    </row>
    <row r="77" spans="1:17" x14ac:dyDescent="0.2">
      <c r="A77" s="48" t="s">
        <v>35</v>
      </c>
      <c r="B77" s="54">
        <v>8.9355502709863896E-4</v>
      </c>
      <c r="C77" s="66">
        <v>1.05107864527788E-2</v>
      </c>
      <c r="D77" s="66" t="s">
        <v>132</v>
      </c>
      <c r="E77" s="66">
        <v>3.9611202232207703E-4</v>
      </c>
      <c r="F77" s="66" t="s">
        <v>132</v>
      </c>
      <c r="G77" s="66" t="s">
        <v>132</v>
      </c>
      <c r="H77" s="66">
        <v>2.9570223061717799E-3</v>
      </c>
      <c r="I77" s="66">
        <v>5.9693160573187397E-3</v>
      </c>
      <c r="J77" s="66" t="s">
        <v>132</v>
      </c>
      <c r="K77" s="66">
        <v>5.5271444975173502E-5</v>
      </c>
      <c r="L77" s="66">
        <v>1.45548138434624E-3</v>
      </c>
      <c r="M77" s="66">
        <v>5.9877398723104695E-4</v>
      </c>
      <c r="N77" s="66" t="s">
        <v>132</v>
      </c>
      <c r="O77" s="66" t="s">
        <v>132</v>
      </c>
      <c r="P77" s="55">
        <v>3.6847629983449001E-5</v>
      </c>
      <c r="Q77" s="59">
        <v>2.2873166312225947E-2</v>
      </c>
    </row>
    <row r="78" spans="1:17" x14ac:dyDescent="0.2">
      <c r="A78" s="49" t="s">
        <v>36</v>
      </c>
      <c r="B78" s="53">
        <v>1.5660242742965801E-4</v>
      </c>
      <c r="C78" s="67">
        <v>1.1054288995034701E-3</v>
      </c>
      <c r="D78" s="67" t="s">
        <v>132</v>
      </c>
      <c r="E78" s="67" t="s">
        <v>132</v>
      </c>
      <c r="F78" s="67" t="s">
        <v>132</v>
      </c>
      <c r="G78" s="67" t="s">
        <v>132</v>
      </c>
      <c r="H78" s="67">
        <v>1.16991225197451E-3</v>
      </c>
      <c r="I78" s="67">
        <v>1.45548138434624E-3</v>
      </c>
      <c r="J78" s="67" t="s">
        <v>132</v>
      </c>
      <c r="K78" s="67" t="s">
        <v>132</v>
      </c>
      <c r="L78" s="67" t="s">
        <v>132</v>
      </c>
      <c r="M78" s="67">
        <v>1.4739051993379601E-4</v>
      </c>
      <c r="N78" s="67" t="s">
        <v>132</v>
      </c>
      <c r="O78" s="67" t="s">
        <v>132</v>
      </c>
      <c r="P78" s="56" t="s">
        <v>132</v>
      </c>
      <c r="Q78" s="58">
        <v>4.0348154831876737E-3</v>
      </c>
    </row>
    <row r="79" spans="1:17" x14ac:dyDescent="0.2">
      <c r="A79" s="48" t="s">
        <v>6</v>
      </c>
      <c r="B79" s="54">
        <v>2.2845530589738401E-3</v>
      </c>
      <c r="C79" s="66">
        <v>9.3961456457795E-4</v>
      </c>
      <c r="D79" s="66">
        <v>1.4739051993379601E-4</v>
      </c>
      <c r="E79" s="66">
        <v>3.26101525353524E-3</v>
      </c>
      <c r="F79" s="66">
        <v>9.2119074958622497E-5</v>
      </c>
      <c r="G79" s="66">
        <v>6.2640970971863301E-4</v>
      </c>
      <c r="H79" s="66" t="s">
        <v>132</v>
      </c>
      <c r="I79" s="66">
        <v>3.6847629983449001E-5</v>
      </c>
      <c r="J79" s="66">
        <v>3.31628669851041E-4</v>
      </c>
      <c r="K79" s="66">
        <v>2.9478103986759201E-4</v>
      </c>
      <c r="L79" s="66">
        <v>1.5770785632916199E-3</v>
      </c>
      <c r="M79" s="66">
        <v>3.5281605709152398E-3</v>
      </c>
      <c r="N79" s="66" t="s">
        <v>132</v>
      </c>
      <c r="O79" s="66" t="s">
        <v>132</v>
      </c>
      <c r="P79" s="55" t="s">
        <v>132</v>
      </c>
      <c r="Q79" s="59">
        <v>1.3119598655607025E-2</v>
      </c>
    </row>
    <row r="80" spans="1:17" ht="13.5" thickBot="1" x14ac:dyDescent="0.25">
      <c r="A80" s="49" t="s">
        <v>37</v>
      </c>
      <c r="B80" s="53" t="s">
        <v>132</v>
      </c>
      <c r="C80" s="67" t="s">
        <v>132</v>
      </c>
      <c r="D80" s="67" t="s">
        <v>132</v>
      </c>
      <c r="E80" s="67">
        <v>7.7380022965242896E-4</v>
      </c>
      <c r="F80" s="67">
        <v>3.40840577346903E-4</v>
      </c>
      <c r="G80" s="67">
        <v>4.8823109728069998E-4</v>
      </c>
      <c r="H80" s="67" t="s">
        <v>132</v>
      </c>
      <c r="I80" s="67">
        <v>7.3695259966898003E-5</v>
      </c>
      <c r="J80" s="67">
        <v>5.9693160573187397E-3</v>
      </c>
      <c r="K80" s="67">
        <v>1.68577907174279E-3</v>
      </c>
      <c r="L80" s="67">
        <v>5.54648950325866E-2</v>
      </c>
      <c r="M80" s="67">
        <v>4.4861989504849202E-3</v>
      </c>
      <c r="N80" s="67" t="s">
        <v>132</v>
      </c>
      <c r="O80" s="67" t="s">
        <v>132</v>
      </c>
      <c r="P80" s="56">
        <v>1.8423814991724501E-5</v>
      </c>
      <c r="Q80" s="58">
        <v>6.930118009137172E-2</v>
      </c>
    </row>
    <row r="81" spans="1:17" ht="14.25" thickTop="1" thickBot="1" x14ac:dyDescent="0.25">
      <c r="A81" s="60" t="s">
        <v>0</v>
      </c>
      <c r="B81" s="61">
        <v>1.895810562648452E-2</v>
      </c>
      <c r="C81" s="62">
        <v>2.5102447926224614E-2</v>
      </c>
      <c r="D81" s="62">
        <v>2.3453516484465319E-2</v>
      </c>
      <c r="E81" s="62">
        <v>5.5787311794941882E-2</v>
      </c>
      <c r="F81" s="62">
        <v>8.8342192885319075E-3</v>
      </c>
      <c r="G81" s="62">
        <v>6.2733090046821986E-3</v>
      </c>
      <c r="H81" s="62">
        <v>5.3843599313314887E-2</v>
      </c>
      <c r="I81" s="62">
        <v>3.9509871249753227E-2</v>
      </c>
      <c r="J81" s="62">
        <v>5.2465497951933886E-2</v>
      </c>
      <c r="K81" s="62">
        <v>2.8849851895541435E-2</v>
      </c>
      <c r="L81" s="62">
        <v>0.15557253617162076</v>
      </c>
      <c r="M81" s="62">
        <v>6.7160332789333241E-2</v>
      </c>
      <c r="N81" s="62">
        <v>5.89562079735185E-4</v>
      </c>
      <c r="O81" s="62">
        <v>1.7502624242138299E-4</v>
      </c>
      <c r="P81" s="63">
        <v>2.5351169428612925E-3</v>
      </c>
      <c r="Q81" s="64">
        <v>0.53911030476184574</v>
      </c>
    </row>
    <row r="84" spans="1:17" ht="15" x14ac:dyDescent="0.25">
      <c r="A84" s="109" t="s">
        <v>118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</row>
    <row r="85" spans="1:17" x14ac:dyDescent="0.2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1:17" ht="13.5" thickBot="1" x14ac:dyDescent="0.25">
      <c r="A86" s="31" t="s">
        <v>133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1:17" ht="39" thickBot="1" x14ac:dyDescent="0.25">
      <c r="A87" s="51" t="s">
        <v>88</v>
      </c>
      <c r="B87" s="52" t="s">
        <v>38</v>
      </c>
      <c r="C87" s="68" t="s">
        <v>39</v>
      </c>
      <c r="D87" s="68" t="s">
        <v>40</v>
      </c>
      <c r="E87" s="68" t="s">
        <v>41</v>
      </c>
      <c r="F87" s="68" t="s">
        <v>42</v>
      </c>
      <c r="G87" s="68" t="s">
        <v>43</v>
      </c>
      <c r="H87" s="68" t="s">
        <v>44</v>
      </c>
      <c r="I87" s="68" t="s">
        <v>45</v>
      </c>
      <c r="J87" s="68" t="s">
        <v>64</v>
      </c>
      <c r="K87" s="68" t="s">
        <v>46</v>
      </c>
      <c r="L87" s="68" t="s">
        <v>7</v>
      </c>
      <c r="M87" s="68" t="s">
        <v>76</v>
      </c>
      <c r="N87" s="68" t="s">
        <v>47</v>
      </c>
      <c r="O87" s="68" t="s">
        <v>48</v>
      </c>
      <c r="P87" s="57" t="s">
        <v>49</v>
      </c>
      <c r="Q87" s="50" t="s">
        <v>0</v>
      </c>
    </row>
    <row r="88" spans="1:17" x14ac:dyDescent="0.2">
      <c r="A88" s="49" t="s">
        <v>8</v>
      </c>
      <c r="B88" s="53" t="s">
        <v>132</v>
      </c>
      <c r="C88" s="67" t="s">
        <v>132</v>
      </c>
      <c r="D88" s="67" t="s">
        <v>132</v>
      </c>
      <c r="E88" s="67">
        <v>3.1145340578860301E-3</v>
      </c>
      <c r="F88" s="67" t="s">
        <v>132</v>
      </c>
      <c r="G88" s="67" t="s">
        <v>132</v>
      </c>
      <c r="H88" s="67" t="s">
        <v>132</v>
      </c>
      <c r="I88" s="67" t="s">
        <v>132</v>
      </c>
      <c r="J88" s="67">
        <v>2.0329176277415098E-3</v>
      </c>
      <c r="K88" s="67">
        <v>7.2976530226618198E-4</v>
      </c>
      <c r="L88" s="67">
        <v>2.6323676974601598E-4</v>
      </c>
      <c r="M88" s="67" t="s">
        <v>132</v>
      </c>
      <c r="N88" s="67" t="s">
        <v>132</v>
      </c>
      <c r="O88" s="67" t="s">
        <v>132</v>
      </c>
      <c r="P88" s="56" t="s">
        <v>132</v>
      </c>
      <c r="Q88" s="58">
        <v>6.140453757639738E-3</v>
      </c>
    </row>
    <row r="89" spans="1:17" x14ac:dyDescent="0.2">
      <c r="A89" s="48" t="s">
        <v>9</v>
      </c>
      <c r="B89" s="54">
        <v>2.2153589533080499E-4</v>
      </c>
      <c r="C89" s="66" t="s">
        <v>132</v>
      </c>
      <c r="D89" s="66">
        <v>2.6063046509506498E-4</v>
      </c>
      <c r="E89" s="66">
        <v>3.7791417438784398E-4</v>
      </c>
      <c r="F89" s="66">
        <v>1.43346755802286E-4</v>
      </c>
      <c r="G89" s="66">
        <v>2.60630465095065E-5</v>
      </c>
      <c r="H89" s="66" t="s">
        <v>132</v>
      </c>
      <c r="I89" s="66">
        <v>2.60630465095065E-5</v>
      </c>
      <c r="J89" s="66">
        <v>1.3031523254753301E-5</v>
      </c>
      <c r="K89" s="66">
        <v>2.4759894184031198E-4</v>
      </c>
      <c r="L89" s="66">
        <v>3.9094569764259801E-4</v>
      </c>
      <c r="M89" s="66">
        <v>1.5637827905703899E-4</v>
      </c>
      <c r="N89" s="66" t="s">
        <v>132</v>
      </c>
      <c r="O89" s="66" t="s">
        <v>132</v>
      </c>
      <c r="P89" s="55" t="s">
        <v>132</v>
      </c>
      <c r="Q89" s="59">
        <v>1.8635078254297152E-3</v>
      </c>
    </row>
    <row r="90" spans="1:17" x14ac:dyDescent="0.2">
      <c r="A90" s="49" t="s">
        <v>10</v>
      </c>
      <c r="B90" s="53">
        <v>5.2126093019012999E-5</v>
      </c>
      <c r="C90" s="67" t="s">
        <v>132</v>
      </c>
      <c r="D90" s="67" t="s">
        <v>132</v>
      </c>
      <c r="E90" s="67">
        <v>1.43346755802286E-4</v>
      </c>
      <c r="F90" s="67">
        <v>5.2126093019012999E-5</v>
      </c>
      <c r="G90" s="67" t="s">
        <v>132</v>
      </c>
      <c r="H90" s="67" t="s">
        <v>132</v>
      </c>
      <c r="I90" s="67">
        <v>2.60630465095065E-5</v>
      </c>
      <c r="J90" s="67" t="s">
        <v>132</v>
      </c>
      <c r="K90" s="67" t="s">
        <v>132</v>
      </c>
      <c r="L90" s="67">
        <v>3.90945697642597E-5</v>
      </c>
      <c r="M90" s="67">
        <v>3.9094569764259802E-5</v>
      </c>
      <c r="N90" s="67" t="s">
        <v>132</v>
      </c>
      <c r="O90" s="67" t="s">
        <v>132</v>
      </c>
      <c r="P90" s="56" t="s">
        <v>132</v>
      </c>
      <c r="Q90" s="58">
        <v>3.5185112787833794E-4</v>
      </c>
    </row>
    <row r="91" spans="1:17" x14ac:dyDescent="0.2">
      <c r="A91" s="48" t="s">
        <v>11</v>
      </c>
      <c r="B91" s="54" t="s">
        <v>132</v>
      </c>
      <c r="C91" s="66" t="s">
        <v>132</v>
      </c>
      <c r="D91" s="66">
        <v>2.08504372076052E-4</v>
      </c>
      <c r="E91" s="66">
        <v>1.3031523254753301E-5</v>
      </c>
      <c r="F91" s="66" t="s">
        <v>132</v>
      </c>
      <c r="G91" s="66" t="s">
        <v>132</v>
      </c>
      <c r="H91" s="66" t="s">
        <v>132</v>
      </c>
      <c r="I91" s="66" t="s">
        <v>132</v>
      </c>
      <c r="J91" s="66">
        <v>4.03977220897351E-4</v>
      </c>
      <c r="K91" s="66" t="s">
        <v>132</v>
      </c>
      <c r="L91" s="66">
        <v>1.5637827905703899E-4</v>
      </c>
      <c r="M91" s="66">
        <v>1.30315232547532E-4</v>
      </c>
      <c r="N91" s="66" t="s">
        <v>132</v>
      </c>
      <c r="O91" s="66">
        <v>9.1220662783272706E-5</v>
      </c>
      <c r="P91" s="55" t="s">
        <v>132</v>
      </c>
      <c r="Q91" s="59">
        <v>1.0034272906159999E-3</v>
      </c>
    </row>
    <row r="92" spans="1:17" x14ac:dyDescent="0.2">
      <c r="A92" s="49" t="s">
        <v>12</v>
      </c>
      <c r="B92" s="53" t="s">
        <v>132</v>
      </c>
      <c r="C92" s="67" t="s">
        <v>132</v>
      </c>
      <c r="D92" s="67" t="s">
        <v>132</v>
      </c>
      <c r="E92" s="67" t="s">
        <v>132</v>
      </c>
      <c r="F92" s="67" t="s">
        <v>132</v>
      </c>
      <c r="G92" s="67" t="s">
        <v>132</v>
      </c>
      <c r="H92" s="67" t="s">
        <v>132</v>
      </c>
      <c r="I92" s="67" t="s">
        <v>132</v>
      </c>
      <c r="J92" s="67" t="s">
        <v>132</v>
      </c>
      <c r="K92" s="67" t="s">
        <v>132</v>
      </c>
      <c r="L92" s="67" t="s">
        <v>132</v>
      </c>
      <c r="M92" s="67">
        <v>2.7366198834981802E-4</v>
      </c>
      <c r="N92" s="67" t="s">
        <v>132</v>
      </c>
      <c r="O92" s="67">
        <v>1.30315232547532E-4</v>
      </c>
      <c r="P92" s="56" t="s">
        <v>132</v>
      </c>
      <c r="Q92" s="58">
        <v>4.0397722089735002E-4</v>
      </c>
    </row>
    <row r="93" spans="1:17" x14ac:dyDescent="0.2">
      <c r="A93" s="48" t="s">
        <v>13</v>
      </c>
      <c r="B93" s="54" t="s">
        <v>132</v>
      </c>
      <c r="C93" s="66" t="s">
        <v>132</v>
      </c>
      <c r="D93" s="66" t="s">
        <v>132</v>
      </c>
      <c r="E93" s="66" t="s">
        <v>132</v>
      </c>
      <c r="F93" s="66" t="s">
        <v>132</v>
      </c>
      <c r="G93" s="66" t="s">
        <v>132</v>
      </c>
      <c r="H93" s="66" t="s">
        <v>132</v>
      </c>
      <c r="I93" s="66" t="s">
        <v>132</v>
      </c>
      <c r="J93" s="66" t="s">
        <v>132</v>
      </c>
      <c r="K93" s="66" t="s">
        <v>132</v>
      </c>
      <c r="L93" s="66" t="s">
        <v>132</v>
      </c>
      <c r="M93" s="66" t="s">
        <v>132</v>
      </c>
      <c r="N93" s="66" t="s">
        <v>132</v>
      </c>
      <c r="O93" s="66" t="s">
        <v>132</v>
      </c>
      <c r="P93" s="55" t="s">
        <v>132</v>
      </c>
      <c r="Q93" s="59" t="s">
        <v>132</v>
      </c>
    </row>
    <row r="94" spans="1:17" x14ac:dyDescent="0.2">
      <c r="A94" s="49" t="s">
        <v>14</v>
      </c>
      <c r="B94" s="53" t="s">
        <v>132</v>
      </c>
      <c r="C94" s="67" t="s">
        <v>132</v>
      </c>
      <c r="D94" s="67" t="s">
        <v>132</v>
      </c>
      <c r="E94" s="67" t="s">
        <v>132</v>
      </c>
      <c r="F94" s="67" t="s">
        <v>132</v>
      </c>
      <c r="G94" s="67" t="s">
        <v>132</v>
      </c>
      <c r="H94" s="67" t="s">
        <v>132</v>
      </c>
      <c r="I94" s="67" t="s">
        <v>132</v>
      </c>
      <c r="J94" s="67" t="s">
        <v>132</v>
      </c>
      <c r="K94" s="67" t="s">
        <v>132</v>
      </c>
      <c r="L94" s="67" t="s">
        <v>132</v>
      </c>
      <c r="M94" s="67" t="s">
        <v>132</v>
      </c>
      <c r="N94" s="67" t="s">
        <v>132</v>
      </c>
      <c r="O94" s="67" t="s">
        <v>132</v>
      </c>
      <c r="P94" s="56" t="s">
        <v>132</v>
      </c>
      <c r="Q94" s="58" t="s">
        <v>132</v>
      </c>
    </row>
    <row r="95" spans="1:17" x14ac:dyDescent="0.2">
      <c r="A95" s="48" t="s">
        <v>15</v>
      </c>
      <c r="B95" s="54" t="s">
        <v>132</v>
      </c>
      <c r="C95" s="66" t="s">
        <v>132</v>
      </c>
      <c r="D95" s="66" t="s">
        <v>132</v>
      </c>
      <c r="E95" s="66">
        <v>1.04252186038026E-4</v>
      </c>
      <c r="F95" s="66" t="s">
        <v>132</v>
      </c>
      <c r="G95" s="66" t="s">
        <v>132</v>
      </c>
      <c r="H95" s="66" t="s">
        <v>132</v>
      </c>
      <c r="I95" s="66" t="s">
        <v>132</v>
      </c>
      <c r="J95" s="66" t="s">
        <v>132</v>
      </c>
      <c r="K95" s="66" t="s">
        <v>132</v>
      </c>
      <c r="L95" s="66">
        <v>3.9094569764259802E-5</v>
      </c>
      <c r="M95" s="66" t="s">
        <v>132</v>
      </c>
      <c r="N95" s="66" t="s">
        <v>132</v>
      </c>
      <c r="O95" s="66" t="s">
        <v>132</v>
      </c>
      <c r="P95" s="55" t="s">
        <v>132</v>
      </c>
      <c r="Q95" s="59">
        <v>1.4334675580228581E-4</v>
      </c>
    </row>
    <row r="96" spans="1:17" x14ac:dyDescent="0.2">
      <c r="A96" s="49" t="s">
        <v>16</v>
      </c>
      <c r="B96" s="53" t="s">
        <v>132</v>
      </c>
      <c r="C96" s="67" t="s">
        <v>132</v>
      </c>
      <c r="D96" s="67" t="s">
        <v>132</v>
      </c>
      <c r="E96" s="67" t="s">
        <v>132</v>
      </c>
      <c r="F96" s="67" t="s">
        <v>132</v>
      </c>
      <c r="G96" s="67" t="s">
        <v>132</v>
      </c>
      <c r="H96" s="67" t="s">
        <v>132</v>
      </c>
      <c r="I96" s="67" t="s">
        <v>132</v>
      </c>
      <c r="J96" s="67" t="s">
        <v>132</v>
      </c>
      <c r="K96" s="67" t="s">
        <v>132</v>
      </c>
      <c r="L96" s="67" t="s">
        <v>132</v>
      </c>
      <c r="M96" s="67" t="s">
        <v>132</v>
      </c>
      <c r="N96" s="67" t="s">
        <v>132</v>
      </c>
      <c r="O96" s="67" t="s">
        <v>132</v>
      </c>
      <c r="P96" s="56" t="s">
        <v>132</v>
      </c>
      <c r="Q96" s="58" t="s">
        <v>132</v>
      </c>
    </row>
    <row r="97" spans="1:17" x14ac:dyDescent="0.2">
      <c r="A97" s="48" t="s">
        <v>17</v>
      </c>
      <c r="B97" s="54" t="s">
        <v>132</v>
      </c>
      <c r="C97" s="66" t="s">
        <v>132</v>
      </c>
      <c r="D97" s="66" t="s">
        <v>132</v>
      </c>
      <c r="E97" s="66">
        <v>9.1220662783272706E-5</v>
      </c>
      <c r="F97" s="66" t="s">
        <v>132</v>
      </c>
      <c r="G97" s="66" t="s">
        <v>132</v>
      </c>
      <c r="H97" s="66" t="s">
        <v>132</v>
      </c>
      <c r="I97" s="66" t="s">
        <v>132</v>
      </c>
      <c r="J97" s="66" t="s">
        <v>132</v>
      </c>
      <c r="K97" s="66" t="s">
        <v>132</v>
      </c>
      <c r="L97" s="66">
        <v>7.8189139528519496E-5</v>
      </c>
      <c r="M97" s="66" t="s">
        <v>132</v>
      </c>
      <c r="N97" s="66" t="s">
        <v>132</v>
      </c>
      <c r="O97" s="66" t="s">
        <v>132</v>
      </c>
      <c r="P97" s="55" t="s">
        <v>132</v>
      </c>
      <c r="Q97" s="59">
        <v>1.694098023117922E-4</v>
      </c>
    </row>
    <row r="98" spans="1:17" x14ac:dyDescent="0.2">
      <c r="A98" s="49" t="s">
        <v>89</v>
      </c>
      <c r="B98" s="53" t="s">
        <v>132</v>
      </c>
      <c r="C98" s="67" t="s">
        <v>132</v>
      </c>
      <c r="D98" s="67" t="s">
        <v>132</v>
      </c>
      <c r="E98" s="67" t="s">
        <v>132</v>
      </c>
      <c r="F98" s="67" t="s">
        <v>132</v>
      </c>
      <c r="G98" s="67" t="s">
        <v>132</v>
      </c>
      <c r="H98" s="67" t="s">
        <v>132</v>
      </c>
      <c r="I98" s="67" t="s">
        <v>132</v>
      </c>
      <c r="J98" s="67" t="s">
        <v>132</v>
      </c>
      <c r="K98" s="67" t="s">
        <v>132</v>
      </c>
      <c r="L98" s="67" t="s">
        <v>132</v>
      </c>
      <c r="M98" s="67" t="s">
        <v>132</v>
      </c>
      <c r="N98" s="67" t="s">
        <v>132</v>
      </c>
      <c r="O98" s="67" t="s">
        <v>132</v>
      </c>
      <c r="P98" s="56" t="s">
        <v>132</v>
      </c>
      <c r="Q98" s="58" t="s">
        <v>132</v>
      </c>
    </row>
    <row r="99" spans="1:17" x14ac:dyDescent="0.2">
      <c r="A99" s="48" t="s">
        <v>79</v>
      </c>
      <c r="B99" s="54" t="s">
        <v>132</v>
      </c>
      <c r="C99" s="66" t="s">
        <v>132</v>
      </c>
      <c r="D99" s="66" t="s">
        <v>132</v>
      </c>
      <c r="E99" s="66" t="s">
        <v>132</v>
      </c>
      <c r="F99" s="66" t="s">
        <v>132</v>
      </c>
      <c r="G99" s="66" t="s">
        <v>132</v>
      </c>
      <c r="H99" s="66" t="s">
        <v>132</v>
      </c>
      <c r="I99" s="66" t="s">
        <v>132</v>
      </c>
      <c r="J99" s="66" t="s">
        <v>132</v>
      </c>
      <c r="K99" s="66" t="s">
        <v>132</v>
      </c>
      <c r="L99" s="66" t="s">
        <v>132</v>
      </c>
      <c r="M99" s="66" t="s">
        <v>132</v>
      </c>
      <c r="N99" s="66" t="s">
        <v>132</v>
      </c>
      <c r="O99" s="66" t="s">
        <v>132</v>
      </c>
      <c r="P99" s="55" t="s">
        <v>132</v>
      </c>
      <c r="Q99" s="59" t="s">
        <v>132</v>
      </c>
    </row>
    <row r="100" spans="1:17" x14ac:dyDescent="0.2">
      <c r="A100" s="49" t="s">
        <v>80</v>
      </c>
      <c r="B100" s="53" t="s">
        <v>132</v>
      </c>
      <c r="C100" s="67" t="s">
        <v>132</v>
      </c>
      <c r="D100" s="67" t="s">
        <v>132</v>
      </c>
      <c r="E100" s="67" t="s">
        <v>132</v>
      </c>
      <c r="F100" s="67" t="s">
        <v>132</v>
      </c>
      <c r="G100" s="67" t="s">
        <v>132</v>
      </c>
      <c r="H100" s="67" t="s">
        <v>132</v>
      </c>
      <c r="I100" s="67" t="s">
        <v>132</v>
      </c>
      <c r="J100" s="67" t="s">
        <v>132</v>
      </c>
      <c r="K100" s="67" t="s">
        <v>132</v>
      </c>
      <c r="L100" s="67" t="s">
        <v>132</v>
      </c>
      <c r="M100" s="67">
        <v>6.5157616273766203E-5</v>
      </c>
      <c r="N100" s="67" t="s">
        <v>132</v>
      </c>
      <c r="O100" s="67" t="s">
        <v>132</v>
      </c>
      <c r="P100" s="56" t="s">
        <v>132</v>
      </c>
      <c r="Q100" s="58">
        <v>6.5157616273766203E-5</v>
      </c>
    </row>
    <row r="101" spans="1:17" x14ac:dyDescent="0.2">
      <c r="A101" s="48" t="s">
        <v>18</v>
      </c>
      <c r="B101" s="54" t="s">
        <v>132</v>
      </c>
      <c r="C101" s="66" t="s">
        <v>132</v>
      </c>
      <c r="D101" s="66" t="s">
        <v>132</v>
      </c>
      <c r="E101" s="66" t="s">
        <v>132</v>
      </c>
      <c r="F101" s="66" t="s">
        <v>132</v>
      </c>
      <c r="G101" s="66" t="s">
        <v>132</v>
      </c>
      <c r="H101" s="66" t="s">
        <v>132</v>
      </c>
      <c r="I101" s="66" t="s">
        <v>132</v>
      </c>
      <c r="J101" s="66" t="s">
        <v>132</v>
      </c>
      <c r="K101" s="66" t="s">
        <v>132</v>
      </c>
      <c r="L101" s="66" t="s">
        <v>132</v>
      </c>
      <c r="M101" s="66" t="s">
        <v>132</v>
      </c>
      <c r="N101" s="66" t="s">
        <v>132</v>
      </c>
      <c r="O101" s="66" t="s">
        <v>132</v>
      </c>
      <c r="P101" s="55" t="s">
        <v>132</v>
      </c>
      <c r="Q101" s="59" t="s">
        <v>132</v>
      </c>
    </row>
    <row r="102" spans="1:17" x14ac:dyDescent="0.2">
      <c r="A102" s="49" t="s">
        <v>78</v>
      </c>
      <c r="B102" s="53" t="s">
        <v>132</v>
      </c>
      <c r="C102" s="67" t="s">
        <v>132</v>
      </c>
      <c r="D102" s="67" t="s">
        <v>132</v>
      </c>
      <c r="E102" s="67" t="s">
        <v>132</v>
      </c>
      <c r="F102" s="67" t="s">
        <v>132</v>
      </c>
      <c r="G102" s="67" t="s">
        <v>132</v>
      </c>
      <c r="H102" s="67" t="s">
        <v>132</v>
      </c>
      <c r="I102" s="67" t="s">
        <v>132</v>
      </c>
      <c r="J102" s="67" t="s">
        <v>132</v>
      </c>
      <c r="K102" s="67" t="s">
        <v>132</v>
      </c>
      <c r="L102" s="67" t="s">
        <v>132</v>
      </c>
      <c r="M102" s="67" t="s">
        <v>132</v>
      </c>
      <c r="N102" s="67" t="s">
        <v>132</v>
      </c>
      <c r="O102" s="67" t="s">
        <v>132</v>
      </c>
      <c r="P102" s="56" t="s">
        <v>132</v>
      </c>
      <c r="Q102" s="58" t="s">
        <v>132</v>
      </c>
    </row>
    <row r="103" spans="1:17" x14ac:dyDescent="0.2">
      <c r="A103" s="48" t="s">
        <v>33</v>
      </c>
      <c r="B103" s="54" t="s">
        <v>132</v>
      </c>
      <c r="C103" s="66" t="s">
        <v>132</v>
      </c>
      <c r="D103" s="66" t="s">
        <v>132</v>
      </c>
      <c r="E103" s="66">
        <v>2.6063046509506498E-4</v>
      </c>
      <c r="F103" s="66" t="s">
        <v>132</v>
      </c>
      <c r="G103" s="66" t="s">
        <v>132</v>
      </c>
      <c r="H103" s="66">
        <v>2.7366198834981802E-4</v>
      </c>
      <c r="I103" s="66">
        <v>5.8641854646389595E-4</v>
      </c>
      <c r="J103" s="66" t="s">
        <v>132</v>
      </c>
      <c r="K103" s="66" t="s">
        <v>132</v>
      </c>
      <c r="L103" s="66">
        <v>6.6460768599241598E-4</v>
      </c>
      <c r="M103" s="66" t="s">
        <v>132</v>
      </c>
      <c r="N103" s="66" t="s">
        <v>132</v>
      </c>
      <c r="O103" s="66" t="s">
        <v>132</v>
      </c>
      <c r="P103" s="55" t="s">
        <v>132</v>
      </c>
      <c r="Q103" s="59">
        <v>1.7853186859011949E-3</v>
      </c>
    </row>
    <row r="104" spans="1:17" x14ac:dyDescent="0.2">
      <c r="A104" s="49" t="s">
        <v>34</v>
      </c>
      <c r="B104" s="53" t="s">
        <v>132</v>
      </c>
      <c r="C104" s="67" t="s">
        <v>132</v>
      </c>
      <c r="D104" s="67" t="s">
        <v>132</v>
      </c>
      <c r="E104" s="67" t="s">
        <v>132</v>
      </c>
      <c r="F104" s="67" t="s">
        <v>132</v>
      </c>
      <c r="G104" s="67" t="s">
        <v>132</v>
      </c>
      <c r="H104" s="67" t="s">
        <v>132</v>
      </c>
      <c r="I104" s="67" t="s">
        <v>132</v>
      </c>
      <c r="J104" s="67" t="s">
        <v>132</v>
      </c>
      <c r="K104" s="67" t="s">
        <v>132</v>
      </c>
      <c r="L104" s="67" t="s">
        <v>132</v>
      </c>
      <c r="M104" s="67" t="s">
        <v>132</v>
      </c>
      <c r="N104" s="67" t="s">
        <v>132</v>
      </c>
      <c r="O104" s="67" t="s">
        <v>132</v>
      </c>
      <c r="P104" s="56" t="s">
        <v>132</v>
      </c>
      <c r="Q104" s="58" t="s">
        <v>132</v>
      </c>
    </row>
    <row r="105" spans="1:17" x14ac:dyDescent="0.2">
      <c r="A105" s="48" t="s">
        <v>35</v>
      </c>
      <c r="B105" s="54">
        <v>1.30315232547532E-4</v>
      </c>
      <c r="C105" s="66" t="s">
        <v>132</v>
      </c>
      <c r="D105" s="66" t="s">
        <v>132</v>
      </c>
      <c r="E105" s="66" t="s">
        <v>132</v>
      </c>
      <c r="F105" s="66" t="s">
        <v>132</v>
      </c>
      <c r="G105" s="66" t="s">
        <v>132</v>
      </c>
      <c r="H105" s="66">
        <v>7.8189139528519504E-4</v>
      </c>
      <c r="I105" s="66" t="s">
        <v>132</v>
      </c>
      <c r="J105" s="66" t="s">
        <v>132</v>
      </c>
      <c r="K105" s="66" t="s">
        <v>132</v>
      </c>
      <c r="L105" s="66" t="s">
        <v>132</v>
      </c>
      <c r="M105" s="66" t="s">
        <v>132</v>
      </c>
      <c r="N105" s="66" t="s">
        <v>132</v>
      </c>
      <c r="O105" s="66" t="s">
        <v>132</v>
      </c>
      <c r="P105" s="55" t="s">
        <v>132</v>
      </c>
      <c r="Q105" s="59">
        <v>9.1220662783272704E-4</v>
      </c>
    </row>
    <row r="106" spans="1:17" x14ac:dyDescent="0.2">
      <c r="A106" s="49" t="s">
        <v>36</v>
      </c>
      <c r="B106" s="53" t="s">
        <v>132</v>
      </c>
      <c r="C106" s="67" t="s">
        <v>132</v>
      </c>
      <c r="D106" s="67" t="s">
        <v>132</v>
      </c>
      <c r="E106" s="67" t="s">
        <v>132</v>
      </c>
      <c r="F106" s="67" t="s">
        <v>132</v>
      </c>
      <c r="G106" s="67" t="s">
        <v>132</v>
      </c>
      <c r="H106" s="67" t="s">
        <v>132</v>
      </c>
      <c r="I106" s="67" t="s">
        <v>132</v>
      </c>
      <c r="J106" s="67" t="s">
        <v>132</v>
      </c>
      <c r="K106" s="67" t="s">
        <v>132</v>
      </c>
      <c r="L106" s="67" t="s">
        <v>132</v>
      </c>
      <c r="M106" s="67" t="s">
        <v>132</v>
      </c>
      <c r="N106" s="67" t="s">
        <v>132</v>
      </c>
      <c r="O106" s="67" t="s">
        <v>132</v>
      </c>
      <c r="P106" s="56" t="s">
        <v>132</v>
      </c>
      <c r="Q106" s="58" t="s">
        <v>132</v>
      </c>
    </row>
    <row r="107" spans="1:17" x14ac:dyDescent="0.2">
      <c r="A107" s="48" t="s">
        <v>6</v>
      </c>
      <c r="B107" s="54">
        <v>6.5157616273766203E-5</v>
      </c>
      <c r="C107" s="66">
        <v>1.3031523254753301E-5</v>
      </c>
      <c r="D107" s="66" t="s">
        <v>132</v>
      </c>
      <c r="E107" s="66">
        <v>1.3031523254753301E-5</v>
      </c>
      <c r="F107" s="66" t="s">
        <v>132</v>
      </c>
      <c r="G107" s="66">
        <v>4.8216636042586999E-4</v>
      </c>
      <c r="H107" s="66" t="s">
        <v>132</v>
      </c>
      <c r="I107" s="66" t="s">
        <v>132</v>
      </c>
      <c r="J107" s="66" t="s">
        <v>132</v>
      </c>
      <c r="K107" s="66" t="s">
        <v>132</v>
      </c>
      <c r="L107" s="66">
        <v>6.5157616273766203E-5</v>
      </c>
      <c r="M107" s="66">
        <v>4.9519788368062396E-4</v>
      </c>
      <c r="N107" s="66" t="s">
        <v>132</v>
      </c>
      <c r="O107" s="66" t="s">
        <v>132</v>
      </c>
      <c r="P107" s="55" t="s">
        <v>132</v>
      </c>
      <c r="Q107" s="59">
        <v>1.133742523163533E-3</v>
      </c>
    </row>
    <row r="108" spans="1:17" ht="13.5" thickBot="1" x14ac:dyDescent="0.25">
      <c r="A108" s="49" t="s">
        <v>37</v>
      </c>
      <c r="B108" s="53" t="s">
        <v>132</v>
      </c>
      <c r="C108" s="67" t="s">
        <v>132</v>
      </c>
      <c r="D108" s="67" t="s">
        <v>132</v>
      </c>
      <c r="E108" s="67">
        <v>5.2126093019012999E-5</v>
      </c>
      <c r="F108" s="67" t="s">
        <v>132</v>
      </c>
      <c r="G108" s="67" t="s">
        <v>132</v>
      </c>
      <c r="H108" s="67" t="s">
        <v>132</v>
      </c>
      <c r="I108" s="67" t="s">
        <v>132</v>
      </c>
      <c r="J108" s="67">
        <v>1.04252186038026E-4</v>
      </c>
      <c r="K108" s="67" t="s">
        <v>132</v>
      </c>
      <c r="L108" s="67">
        <v>1.0816164301445199E-3</v>
      </c>
      <c r="M108" s="67">
        <v>9.1220662783272706E-5</v>
      </c>
      <c r="N108" s="67" t="s">
        <v>132</v>
      </c>
      <c r="O108" s="67" t="s">
        <v>132</v>
      </c>
      <c r="P108" s="56">
        <v>3.90945697642597E-5</v>
      </c>
      <c r="Q108" s="58">
        <v>1.3683099417490913E-3</v>
      </c>
    </row>
    <row r="109" spans="1:17" ht="14.25" thickTop="1" thickBot="1" x14ac:dyDescent="0.25">
      <c r="A109" s="60" t="s">
        <v>0</v>
      </c>
      <c r="B109" s="61">
        <v>4.6913483717111619E-4</v>
      </c>
      <c r="C109" s="62">
        <v>1.3031523254753301E-5</v>
      </c>
      <c r="D109" s="62">
        <v>4.69134837171117E-4</v>
      </c>
      <c r="E109" s="62">
        <v>4.170087441521044E-3</v>
      </c>
      <c r="F109" s="62">
        <v>1.95472848821299E-4</v>
      </c>
      <c r="G109" s="62">
        <v>5.0822940693537647E-4</v>
      </c>
      <c r="H109" s="62">
        <v>1.055553383635013E-3</v>
      </c>
      <c r="I109" s="62">
        <v>6.385446394829089E-4</v>
      </c>
      <c r="J109" s="62">
        <v>2.5541785579316404E-3</v>
      </c>
      <c r="K109" s="62">
        <v>9.7736424410649401E-4</v>
      </c>
      <c r="L109" s="62">
        <v>2.7783207579133939E-3</v>
      </c>
      <c r="M109" s="62">
        <v>1.2510262324563117E-3</v>
      </c>
      <c r="N109" s="62" t="s">
        <v>132</v>
      </c>
      <c r="O109" s="62">
        <v>2.2153589533080469E-4</v>
      </c>
      <c r="P109" s="63">
        <v>3.90945697642597E-5</v>
      </c>
      <c r="Q109" s="64">
        <v>1.5340709175495532E-2</v>
      </c>
    </row>
  </sheetData>
  <mergeCells count="4">
    <mergeCell ref="A1:Q1"/>
    <mergeCell ref="A28:Q28"/>
    <mergeCell ref="A56:Q56"/>
    <mergeCell ref="A84:Q84"/>
  </mergeCells>
  <conditionalFormatting sqref="B5:Q25">
    <cfRule type="cellIs" dxfId="7" priority="1" operator="greaterThan">
      <formula>0</formula>
    </cfRule>
  </conditionalFormatting>
  <conditionalFormatting sqref="Q25">
    <cfRule type="cellIs" dxfId="6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82" orientation="landscape" r:id="rId1"/>
  <headerFooter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GridLines="0" zoomScaleNormal="100" workbookViewId="0">
      <selection activeCell="A28" sqref="A28"/>
    </sheetView>
  </sheetViews>
  <sheetFormatPr defaultRowHeight="12.75" x14ac:dyDescent="0.2"/>
  <cols>
    <col min="1" max="1" width="38.28515625" style="21" bestFit="1" customWidth="1"/>
    <col min="2" max="2" width="23.140625" style="21" bestFit="1" customWidth="1"/>
    <col min="3" max="15" width="10.28515625" style="21" customWidth="1"/>
    <col min="16" max="16" width="11.42578125" style="21" customWidth="1"/>
    <col min="17" max="20" width="10.28515625" style="21" customWidth="1"/>
    <col min="21" max="16384" width="9.140625" style="16"/>
  </cols>
  <sheetData>
    <row r="1" spans="1:20" ht="15" customHeight="1" x14ac:dyDescent="0.25">
      <c r="A1" s="100" t="s">
        <v>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7.5" customHeight="1" x14ac:dyDescent="0.2"/>
    <row r="3" spans="1:20" ht="12.75" customHeight="1" thickBot="1" x14ac:dyDescent="0.25">
      <c r="A3" s="31" t="s">
        <v>133</v>
      </c>
    </row>
    <row r="4" spans="1:20" ht="38.25" customHeight="1" thickBot="1" x14ac:dyDescent="0.25">
      <c r="A4" s="38" t="s">
        <v>65</v>
      </c>
      <c r="B4" s="37" t="s">
        <v>73</v>
      </c>
      <c r="C4" s="45" t="s">
        <v>74</v>
      </c>
      <c r="D4" s="46" t="s">
        <v>75</v>
      </c>
      <c r="E4" s="32" t="s">
        <v>50</v>
      </c>
      <c r="F4" s="32" t="s">
        <v>51</v>
      </c>
      <c r="G4" s="32" t="s">
        <v>52</v>
      </c>
      <c r="H4" s="32" t="s">
        <v>53</v>
      </c>
      <c r="I4" s="32" t="s">
        <v>63</v>
      </c>
      <c r="J4" s="32" t="s">
        <v>54</v>
      </c>
      <c r="K4" s="32" t="s">
        <v>55</v>
      </c>
      <c r="L4" s="32" t="s">
        <v>56</v>
      </c>
      <c r="M4" s="32" t="s">
        <v>57</v>
      </c>
      <c r="N4" s="32" t="s">
        <v>58</v>
      </c>
      <c r="O4" s="32" t="s">
        <v>59</v>
      </c>
      <c r="P4" s="32" t="s">
        <v>60</v>
      </c>
      <c r="Q4" s="32" t="s">
        <v>61</v>
      </c>
      <c r="R4" s="32" t="s">
        <v>81</v>
      </c>
      <c r="S4" s="44" t="s">
        <v>62</v>
      </c>
      <c r="T4" s="33" t="s">
        <v>0</v>
      </c>
    </row>
    <row r="5" spans="1:20" ht="12.75" customHeight="1" x14ac:dyDescent="0.2">
      <c r="A5" s="36" t="s">
        <v>67</v>
      </c>
      <c r="B5" s="39" t="s">
        <v>68</v>
      </c>
      <c r="C5" s="93">
        <v>1.2995099969890225E-2</v>
      </c>
      <c r="D5" s="94">
        <v>1.2308129063153545E-3</v>
      </c>
      <c r="E5" s="66">
        <v>5.5378240322449335E-3</v>
      </c>
      <c r="F5" s="66">
        <v>4.5188757857268528E-3</v>
      </c>
      <c r="G5" s="66">
        <v>2.9398690049137401E-5</v>
      </c>
      <c r="H5" s="66">
        <v>4.5735308312905298E-5</v>
      </c>
      <c r="I5" s="66">
        <v>6.9743742573187128E-4</v>
      </c>
      <c r="J5" s="66" t="s">
        <v>132</v>
      </c>
      <c r="K5" s="66">
        <v>7.4462334466441698E-6</v>
      </c>
      <c r="L5" s="66" t="s">
        <v>132</v>
      </c>
      <c r="M5" s="66">
        <v>2.0713566060328163E-4</v>
      </c>
      <c r="N5" s="66">
        <v>9.753264226589051E-5</v>
      </c>
      <c r="O5" s="66" t="s">
        <v>132</v>
      </c>
      <c r="P5" s="66" t="s">
        <v>132</v>
      </c>
      <c r="Q5" s="66" t="s">
        <v>132</v>
      </c>
      <c r="R5" s="66" t="s">
        <v>132</v>
      </c>
      <c r="S5" s="84">
        <v>3.6175615625807855E-4</v>
      </c>
      <c r="T5" s="88">
        <v>2.5729054810845173E-2</v>
      </c>
    </row>
    <row r="6" spans="1:20" ht="12.75" customHeight="1" x14ac:dyDescent="0.2">
      <c r="A6" s="35" t="s">
        <v>19</v>
      </c>
      <c r="B6" s="40" t="s">
        <v>68</v>
      </c>
      <c r="C6" s="103">
        <v>1.17183506171954E-3</v>
      </c>
      <c r="D6" s="104" t="s">
        <v>132</v>
      </c>
      <c r="E6" s="67" t="s">
        <v>132</v>
      </c>
      <c r="F6" s="67" t="s">
        <v>132</v>
      </c>
      <c r="G6" s="67" t="s">
        <v>132</v>
      </c>
      <c r="H6" s="67" t="s">
        <v>132</v>
      </c>
      <c r="I6" s="67" t="s">
        <v>132</v>
      </c>
      <c r="J6" s="67" t="s">
        <v>132</v>
      </c>
      <c r="K6" s="67" t="s">
        <v>132</v>
      </c>
      <c r="L6" s="67" t="s">
        <v>132</v>
      </c>
      <c r="M6" s="67" t="s">
        <v>132</v>
      </c>
      <c r="N6" s="67" t="s">
        <v>132</v>
      </c>
      <c r="O6" s="67" t="s">
        <v>132</v>
      </c>
      <c r="P6" s="67" t="s">
        <v>132</v>
      </c>
      <c r="Q6" s="67" t="s">
        <v>132</v>
      </c>
      <c r="R6" s="67" t="s">
        <v>132</v>
      </c>
      <c r="S6" s="85" t="s">
        <v>132</v>
      </c>
      <c r="T6" s="89">
        <v>1.17183506171954E-3</v>
      </c>
    </row>
    <row r="7" spans="1:20" ht="12.75" customHeight="1" x14ac:dyDescent="0.2">
      <c r="A7" s="36" t="s">
        <v>21</v>
      </c>
      <c r="B7" s="39" t="s">
        <v>68</v>
      </c>
      <c r="C7" s="105">
        <v>7.5239587828458506E-5</v>
      </c>
      <c r="D7" s="106" t="s">
        <v>132</v>
      </c>
      <c r="E7" s="66">
        <v>1.34483155228088E-5</v>
      </c>
      <c r="F7" s="66">
        <v>1.5348815590252301E-4</v>
      </c>
      <c r="G7" s="66" t="s">
        <v>132</v>
      </c>
      <c r="H7" s="66">
        <v>2.2363242936589299E-4</v>
      </c>
      <c r="I7" s="66">
        <v>2.5840802793409101E-3</v>
      </c>
      <c r="J7" s="66" t="s">
        <v>132</v>
      </c>
      <c r="K7" s="66" t="s">
        <v>132</v>
      </c>
      <c r="L7" s="66" t="s">
        <v>132</v>
      </c>
      <c r="M7" s="66">
        <v>4.6066374373567502E-5</v>
      </c>
      <c r="N7" s="66" t="s">
        <v>132</v>
      </c>
      <c r="O7" s="66" t="s">
        <v>132</v>
      </c>
      <c r="P7" s="66" t="s">
        <v>132</v>
      </c>
      <c r="Q7" s="66" t="s">
        <v>132</v>
      </c>
      <c r="R7" s="66" t="s">
        <v>132</v>
      </c>
      <c r="S7" s="84">
        <v>1.92126841319928E-3</v>
      </c>
      <c r="T7" s="88">
        <v>5.0172235555334408E-3</v>
      </c>
    </row>
    <row r="8" spans="1:20" ht="12.75" customHeight="1" x14ac:dyDescent="0.2">
      <c r="A8" s="35" t="s">
        <v>22</v>
      </c>
      <c r="B8" s="40" t="s">
        <v>68</v>
      </c>
      <c r="C8" s="103" t="s">
        <v>132</v>
      </c>
      <c r="D8" s="104" t="s">
        <v>132</v>
      </c>
      <c r="E8" s="67" t="s">
        <v>132</v>
      </c>
      <c r="F8" s="67" t="s">
        <v>132</v>
      </c>
      <c r="G8" s="67" t="s">
        <v>132</v>
      </c>
      <c r="H8" s="67" t="s">
        <v>132</v>
      </c>
      <c r="I8" s="67" t="s">
        <v>132</v>
      </c>
      <c r="J8" s="67" t="s">
        <v>132</v>
      </c>
      <c r="K8" s="67">
        <v>1.7660104308720201E-3</v>
      </c>
      <c r="L8" s="67" t="s">
        <v>132</v>
      </c>
      <c r="M8" s="67" t="s">
        <v>132</v>
      </c>
      <c r="N8" s="67" t="s">
        <v>132</v>
      </c>
      <c r="O8" s="67" t="s">
        <v>132</v>
      </c>
      <c r="P8" s="67" t="s">
        <v>132</v>
      </c>
      <c r="Q8" s="67" t="s">
        <v>132</v>
      </c>
      <c r="R8" s="67" t="s">
        <v>132</v>
      </c>
      <c r="S8" s="85" t="s">
        <v>132</v>
      </c>
      <c r="T8" s="89">
        <v>1.7660104308720201E-3</v>
      </c>
    </row>
    <row r="9" spans="1:20" ht="12.75" customHeight="1" x14ac:dyDescent="0.2">
      <c r="A9" s="36" t="s">
        <v>69</v>
      </c>
      <c r="B9" s="39" t="s">
        <v>68</v>
      </c>
      <c r="C9" s="105">
        <v>3.1707425887049398E-4</v>
      </c>
      <c r="D9" s="106" t="s">
        <v>132</v>
      </c>
      <c r="E9" s="66">
        <v>1.0113825480495101E-5</v>
      </c>
      <c r="F9" s="66">
        <v>1.6230279702619799E-4</v>
      </c>
      <c r="G9" s="66">
        <v>3.39618295538447E-5</v>
      </c>
      <c r="H9" s="66">
        <v>5.5959489146954499E-5</v>
      </c>
      <c r="I9" s="66">
        <v>9.1369999915035601E-4</v>
      </c>
      <c r="J9" s="66">
        <v>8.1131314551069097E-6</v>
      </c>
      <c r="K9" s="66" t="s">
        <v>132</v>
      </c>
      <c r="L9" s="66" t="s">
        <v>132</v>
      </c>
      <c r="M9" s="66">
        <v>1.4207514606520799E-4</v>
      </c>
      <c r="N9" s="66">
        <v>6.77933543818144E-6</v>
      </c>
      <c r="O9" s="66" t="s">
        <v>132</v>
      </c>
      <c r="P9" s="66" t="s">
        <v>132</v>
      </c>
      <c r="Q9" s="66" t="s">
        <v>132</v>
      </c>
      <c r="R9" s="66">
        <v>1.8949032620841799E-5</v>
      </c>
      <c r="S9" s="84">
        <v>4.0872274813663796E-3</v>
      </c>
      <c r="T9" s="88">
        <v>5.7562563261740604E-3</v>
      </c>
    </row>
    <row r="10" spans="1:20" ht="12.75" customHeight="1" x14ac:dyDescent="0.2">
      <c r="A10" s="35" t="s">
        <v>77</v>
      </c>
      <c r="B10" s="40" t="s">
        <v>70</v>
      </c>
      <c r="C10" s="103">
        <v>2.9990520956793201E-4</v>
      </c>
      <c r="D10" s="104" t="s">
        <v>132</v>
      </c>
      <c r="E10" s="67" t="s">
        <v>132</v>
      </c>
      <c r="F10" s="67" t="s">
        <v>132</v>
      </c>
      <c r="G10" s="67" t="s">
        <v>132</v>
      </c>
      <c r="H10" s="67" t="s">
        <v>132</v>
      </c>
      <c r="I10" s="67">
        <v>5.9757400465065098E-4</v>
      </c>
      <c r="J10" s="67" t="s">
        <v>132</v>
      </c>
      <c r="K10" s="67">
        <v>1.52800278669254E-3</v>
      </c>
      <c r="L10" s="67">
        <v>3.93443662476556E-3</v>
      </c>
      <c r="M10" s="67">
        <v>3.38966771909072E-6</v>
      </c>
      <c r="N10" s="67" t="s">
        <v>132</v>
      </c>
      <c r="O10" s="67" t="s">
        <v>132</v>
      </c>
      <c r="P10" s="67" t="s">
        <v>132</v>
      </c>
      <c r="Q10" s="67" t="s">
        <v>132</v>
      </c>
      <c r="R10" s="67" t="s">
        <v>132</v>
      </c>
      <c r="S10" s="85">
        <v>1.4511291466687401E-3</v>
      </c>
      <c r="T10" s="89">
        <v>7.8144374400645131E-3</v>
      </c>
    </row>
    <row r="11" spans="1:20" ht="12.75" customHeight="1" x14ac:dyDescent="0.2">
      <c r="A11" s="36" t="s">
        <v>28</v>
      </c>
      <c r="B11" s="39" t="s">
        <v>70</v>
      </c>
      <c r="C11" s="105" t="s">
        <v>132</v>
      </c>
      <c r="D11" s="106" t="s">
        <v>132</v>
      </c>
      <c r="E11" s="66">
        <v>2.4675226313121201E-5</v>
      </c>
      <c r="F11" s="66" t="s">
        <v>132</v>
      </c>
      <c r="G11" s="66" t="s">
        <v>132</v>
      </c>
      <c r="H11" s="66" t="s">
        <v>132</v>
      </c>
      <c r="I11" s="66" t="s">
        <v>132</v>
      </c>
      <c r="J11" s="66" t="s">
        <v>132</v>
      </c>
      <c r="K11" s="66" t="s">
        <v>132</v>
      </c>
      <c r="L11" s="66" t="s">
        <v>132</v>
      </c>
      <c r="M11" s="66" t="s">
        <v>132</v>
      </c>
      <c r="N11" s="66" t="s">
        <v>132</v>
      </c>
      <c r="O11" s="66" t="s">
        <v>132</v>
      </c>
      <c r="P11" s="66" t="s">
        <v>132</v>
      </c>
      <c r="Q11" s="66" t="s">
        <v>132</v>
      </c>
      <c r="R11" s="66" t="s">
        <v>132</v>
      </c>
      <c r="S11" s="84">
        <v>4.6899332404671097E-4</v>
      </c>
      <c r="T11" s="88">
        <v>4.936685503598322E-4</v>
      </c>
    </row>
    <row r="12" spans="1:20" ht="12.75" customHeight="1" x14ac:dyDescent="0.2">
      <c r="A12" s="35" t="s">
        <v>29</v>
      </c>
      <c r="B12" s="40" t="s">
        <v>70</v>
      </c>
      <c r="C12" s="103" t="s">
        <v>132</v>
      </c>
      <c r="D12" s="104" t="s">
        <v>132</v>
      </c>
      <c r="E12" s="67" t="s">
        <v>132</v>
      </c>
      <c r="F12" s="67" t="s">
        <v>132</v>
      </c>
      <c r="G12" s="67" t="s">
        <v>132</v>
      </c>
      <c r="H12" s="67" t="s">
        <v>132</v>
      </c>
      <c r="I12" s="67">
        <v>3.3344900423136801E-6</v>
      </c>
      <c r="J12" s="67" t="s">
        <v>132</v>
      </c>
      <c r="K12" s="67" t="s">
        <v>132</v>
      </c>
      <c r="L12" s="67" t="s">
        <v>132</v>
      </c>
      <c r="M12" s="67" t="s">
        <v>132</v>
      </c>
      <c r="N12" s="67" t="s">
        <v>132</v>
      </c>
      <c r="O12" s="67" t="s">
        <v>132</v>
      </c>
      <c r="P12" s="67" t="s">
        <v>132</v>
      </c>
      <c r="Q12" s="67" t="s">
        <v>132</v>
      </c>
      <c r="R12" s="67" t="s">
        <v>132</v>
      </c>
      <c r="S12" s="85">
        <v>5.1217767049938003E-4</v>
      </c>
      <c r="T12" s="89">
        <v>5.1551216054169374E-4</v>
      </c>
    </row>
    <row r="13" spans="1:20" ht="12.75" customHeight="1" x14ac:dyDescent="0.2">
      <c r="A13" s="36" t="s">
        <v>30</v>
      </c>
      <c r="B13" s="39" t="s">
        <v>70</v>
      </c>
      <c r="C13" s="105" t="s">
        <v>132</v>
      </c>
      <c r="D13" s="106" t="s">
        <v>132</v>
      </c>
      <c r="E13" s="66" t="s">
        <v>132</v>
      </c>
      <c r="F13" s="66">
        <v>1.9926831974111301E-4</v>
      </c>
      <c r="G13" s="66" t="s">
        <v>132</v>
      </c>
      <c r="H13" s="66">
        <v>1.3337960169254701E-6</v>
      </c>
      <c r="I13" s="66">
        <v>5.4737522540912996E-4</v>
      </c>
      <c r="J13" s="66" t="s">
        <v>132</v>
      </c>
      <c r="K13" s="66">
        <v>6.77933543818144E-6</v>
      </c>
      <c r="L13" s="66" t="s">
        <v>132</v>
      </c>
      <c r="M13" s="66">
        <v>6.6689800846273505E-7</v>
      </c>
      <c r="N13" s="66" t="s">
        <v>132</v>
      </c>
      <c r="O13" s="66">
        <v>1.3558670876362899E-4</v>
      </c>
      <c r="P13" s="66" t="s">
        <v>132</v>
      </c>
      <c r="Q13" s="66" t="s">
        <v>132</v>
      </c>
      <c r="R13" s="66" t="s">
        <v>132</v>
      </c>
      <c r="S13" s="84">
        <v>5.1758551619072004E-3</v>
      </c>
      <c r="T13" s="88">
        <v>6.0668654452846419E-3</v>
      </c>
    </row>
    <row r="14" spans="1:20" ht="12.75" customHeight="1" x14ac:dyDescent="0.2">
      <c r="A14" s="35" t="s">
        <v>31</v>
      </c>
      <c r="B14" s="40" t="s">
        <v>70</v>
      </c>
      <c r="C14" s="103" t="s">
        <v>132</v>
      </c>
      <c r="D14" s="104" t="s">
        <v>132</v>
      </c>
      <c r="E14" s="67" t="s">
        <v>132</v>
      </c>
      <c r="F14" s="67">
        <v>1.0136543645716499E-3</v>
      </c>
      <c r="G14" s="67" t="s">
        <v>132</v>
      </c>
      <c r="H14" s="67" t="s">
        <v>132</v>
      </c>
      <c r="I14" s="67">
        <v>2.9208172579928899E-5</v>
      </c>
      <c r="J14" s="67" t="s">
        <v>132</v>
      </c>
      <c r="K14" s="67" t="s">
        <v>132</v>
      </c>
      <c r="L14" s="67" t="s">
        <v>132</v>
      </c>
      <c r="M14" s="67" t="s">
        <v>132</v>
      </c>
      <c r="N14" s="67" t="s">
        <v>132</v>
      </c>
      <c r="O14" s="67" t="s">
        <v>132</v>
      </c>
      <c r="P14" s="67" t="s">
        <v>132</v>
      </c>
      <c r="Q14" s="67" t="s">
        <v>132</v>
      </c>
      <c r="R14" s="67" t="s">
        <v>132</v>
      </c>
      <c r="S14" s="85">
        <v>6.8371030587108901E-4</v>
      </c>
      <c r="T14" s="89">
        <v>1.7265728430226677E-3</v>
      </c>
    </row>
    <row r="15" spans="1:20" ht="12.75" customHeight="1" x14ac:dyDescent="0.2">
      <c r="A15" s="36" t="s">
        <v>20</v>
      </c>
      <c r="B15" s="39" t="s">
        <v>70</v>
      </c>
      <c r="C15" s="105" t="s">
        <v>132</v>
      </c>
      <c r="D15" s="106" t="s">
        <v>132</v>
      </c>
      <c r="E15" s="66" t="s">
        <v>132</v>
      </c>
      <c r="F15" s="66" t="s">
        <v>132</v>
      </c>
      <c r="G15" s="66">
        <v>2.7117341752725699E-5</v>
      </c>
      <c r="H15" s="66" t="s">
        <v>132</v>
      </c>
      <c r="I15" s="66" t="s">
        <v>132</v>
      </c>
      <c r="J15" s="66" t="s">
        <v>132</v>
      </c>
      <c r="K15" s="66" t="s">
        <v>132</v>
      </c>
      <c r="L15" s="66" t="s">
        <v>132</v>
      </c>
      <c r="M15" s="66" t="s">
        <v>132</v>
      </c>
      <c r="N15" s="66" t="s">
        <v>132</v>
      </c>
      <c r="O15" s="66" t="s">
        <v>132</v>
      </c>
      <c r="P15" s="66" t="s">
        <v>132</v>
      </c>
      <c r="Q15" s="66" t="s">
        <v>132</v>
      </c>
      <c r="R15" s="66" t="s">
        <v>132</v>
      </c>
      <c r="S15" s="84" t="s">
        <v>132</v>
      </c>
      <c r="T15" s="88">
        <v>2.7117341752725699E-5</v>
      </c>
    </row>
    <row r="16" spans="1:20" ht="12.75" customHeight="1" x14ac:dyDescent="0.2">
      <c r="A16" s="35" t="s">
        <v>32</v>
      </c>
      <c r="B16" s="40" t="s">
        <v>70</v>
      </c>
      <c r="C16" s="103">
        <v>9.3365721184782894E-6</v>
      </c>
      <c r="D16" s="104" t="s">
        <v>132</v>
      </c>
      <c r="E16" s="67">
        <v>3.38966771909072E-6</v>
      </c>
      <c r="F16" s="67">
        <v>5.7569173547765199E-5</v>
      </c>
      <c r="G16" s="67" t="s">
        <v>132</v>
      </c>
      <c r="H16" s="67">
        <v>6.0572597529416602E-6</v>
      </c>
      <c r="I16" s="67">
        <v>1.31534908923213E-4</v>
      </c>
      <c r="J16" s="67">
        <v>6.77933543818144E-6</v>
      </c>
      <c r="K16" s="67">
        <v>9.1210702103924007E-6</v>
      </c>
      <c r="L16" s="67" t="s">
        <v>132</v>
      </c>
      <c r="M16" s="67">
        <v>1.2671062160791999E-5</v>
      </c>
      <c r="N16" s="67" t="s">
        <v>132</v>
      </c>
      <c r="O16" s="67">
        <v>1.3337960169254701E-6</v>
      </c>
      <c r="P16" s="67" t="s">
        <v>132</v>
      </c>
      <c r="Q16" s="67" t="s">
        <v>132</v>
      </c>
      <c r="R16" s="67" t="s">
        <v>132</v>
      </c>
      <c r="S16" s="85">
        <v>7.21814995329034E-3</v>
      </c>
      <c r="T16" s="89">
        <v>7.4559427991781205E-3</v>
      </c>
    </row>
    <row r="17" spans="1:20" ht="12.75" customHeight="1" x14ac:dyDescent="0.2">
      <c r="A17" s="36" t="s">
        <v>23</v>
      </c>
      <c r="B17" s="39" t="s">
        <v>71</v>
      </c>
      <c r="C17" s="105" t="s">
        <v>132</v>
      </c>
      <c r="D17" s="106" t="s">
        <v>132</v>
      </c>
      <c r="E17" s="66" t="s">
        <v>132</v>
      </c>
      <c r="F17" s="66" t="s">
        <v>132</v>
      </c>
      <c r="G17" s="66" t="s">
        <v>132</v>
      </c>
      <c r="H17" s="66" t="s">
        <v>132</v>
      </c>
      <c r="I17" s="66" t="s">
        <v>132</v>
      </c>
      <c r="J17" s="66" t="s">
        <v>132</v>
      </c>
      <c r="K17" s="66" t="s">
        <v>132</v>
      </c>
      <c r="L17" s="66">
        <v>5.1232073531341299E-3</v>
      </c>
      <c r="M17" s="66" t="s">
        <v>132</v>
      </c>
      <c r="N17" s="66" t="s">
        <v>132</v>
      </c>
      <c r="O17" s="66" t="s">
        <v>132</v>
      </c>
      <c r="P17" s="66" t="s">
        <v>132</v>
      </c>
      <c r="Q17" s="66" t="s">
        <v>132</v>
      </c>
      <c r="R17" s="66" t="s">
        <v>132</v>
      </c>
      <c r="S17" s="84" t="s">
        <v>132</v>
      </c>
      <c r="T17" s="88">
        <v>5.1232073531341299E-3</v>
      </c>
    </row>
    <row r="18" spans="1:20" ht="12.75" customHeight="1" x14ac:dyDescent="0.2">
      <c r="A18" s="35" t="s">
        <v>24</v>
      </c>
      <c r="B18" s="40" t="s">
        <v>72</v>
      </c>
      <c r="C18" s="103" t="s">
        <v>132</v>
      </c>
      <c r="D18" s="104" t="s">
        <v>132</v>
      </c>
      <c r="E18" s="67" t="s">
        <v>132</v>
      </c>
      <c r="F18" s="67" t="s">
        <v>132</v>
      </c>
      <c r="G18" s="67" t="s">
        <v>132</v>
      </c>
      <c r="H18" s="67" t="s">
        <v>132</v>
      </c>
      <c r="I18" s="67" t="s">
        <v>132</v>
      </c>
      <c r="J18" s="67" t="s">
        <v>132</v>
      </c>
      <c r="K18" s="67" t="s">
        <v>132</v>
      </c>
      <c r="L18" s="67" t="s">
        <v>132</v>
      </c>
      <c r="M18" s="67" t="s">
        <v>132</v>
      </c>
      <c r="N18" s="67" t="s">
        <v>132</v>
      </c>
      <c r="O18" s="67" t="s">
        <v>132</v>
      </c>
      <c r="P18" s="67">
        <v>2.1827366690000499E-2</v>
      </c>
      <c r="Q18" s="67" t="s">
        <v>132</v>
      </c>
      <c r="R18" s="67" t="s">
        <v>132</v>
      </c>
      <c r="S18" s="85" t="s">
        <v>132</v>
      </c>
      <c r="T18" s="89">
        <v>2.1827366690000499E-2</v>
      </c>
    </row>
    <row r="19" spans="1:20" ht="12.75" customHeight="1" x14ac:dyDescent="0.2">
      <c r="A19" s="36" t="s">
        <v>25</v>
      </c>
      <c r="B19" s="39" t="s">
        <v>72</v>
      </c>
      <c r="C19" s="105" t="s">
        <v>132</v>
      </c>
      <c r="D19" s="106" t="s">
        <v>132</v>
      </c>
      <c r="E19" s="66" t="s">
        <v>132</v>
      </c>
      <c r="F19" s="66" t="s">
        <v>132</v>
      </c>
      <c r="G19" s="66" t="s">
        <v>132</v>
      </c>
      <c r="H19" s="66" t="s">
        <v>132</v>
      </c>
      <c r="I19" s="66" t="s">
        <v>132</v>
      </c>
      <c r="J19" s="66" t="s">
        <v>132</v>
      </c>
      <c r="K19" s="66" t="s">
        <v>132</v>
      </c>
      <c r="L19" s="66" t="s">
        <v>132</v>
      </c>
      <c r="M19" s="66" t="s">
        <v>132</v>
      </c>
      <c r="N19" s="66" t="s">
        <v>132</v>
      </c>
      <c r="O19" s="66" t="s">
        <v>132</v>
      </c>
      <c r="P19" s="66">
        <v>2.0639750539280001E-2</v>
      </c>
      <c r="Q19" s="66" t="s">
        <v>132</v>
      </c>
      <c r="R19" s="66" t="s">
        <v>132</v>
      </c>
      <c r="S19" s="84" t="s">
        <v>132</v>
      </c>
      <c r="T19" s="88">
        <v>2.0639750539280001E-2</v>
      </c>
    </row>
    <row r="20" spans="1:20" ht="12.75" customHeight="1" x14ac:dyDescent="0.2">
      <c r="A20" s="35" t="s">
        <v>78</v>
      </c>
      <c r="B20" s="40" t="s">
        <v>72</v>
      </c>
      <c r="C20" s="103" t="s">
        <v>132</v>
      </c>
      <c r="D20" s="104" t="s">
        <v>132</v>
      </c>
      <c r="E20" s="67" t="s">
        <v>132</v>
      </c>
      <c r="F20" s="67" t="s">
        <v>132</v>
      </c>
      <c r="G20" s="67" t="s">
        <v>132</v>
      </c>
      <c r="H20" s="67" t="s">
        <v>132</v>
      </c>
      <c r="I20" s="67" t="s">
        <v>132</v>
      </c>
      <c r="J20" s="67" t="s">
        <v>132</v>
      </c>
      <c r="K20" s="67" t="s">
        <v>132</v>
      </c>
      <c r="L20" s="67" t="s">
        <v>132</v>
      </c>
      <c r="M20" s="67" t="s">
        <v>132</v>
      </c>
      <c r="N20" s="67" t="s">
        <v>132</v>
      </c>
      <c r="O20" s="67" t="s">
        <v>132</v>
      </c>
      <c r="P20" s="67" t="s">
        <v>132</v>
      </c>
      <c r="Q20" s="67">
        <v>3.0490456168783307E-4</v>
      </c>
      <c r="R20" s="67" t="s">
        <v>132</v>
      </c>
      <c r="S20" s="85" t="s">
        <v>132</v>
      </c>
      <c r="T20" s="89">
        <v>3.0490456168783307E-4</v>
      </c>
    </row>
    <row r="21" spans="1:20" ht="12.75" customHeight="1" x14ac:dyDescent="0.2">
      <c r="A21" s="36" t="s">
        <v>26</v>
      </c>
      <c r="B21" s="39" t="s">
        <v>72</v>
      </c>
      <c r="C21" s="105" t="s">
        <v>132</v>
      </c>
      <c r="D21" s="106" t="s">
        <v>132</v>
      </c>
      <c r="E21" s="66" t="s">
        <v>132</v>
      </c>
      <c r="F21" s="66" t="s">
        <v>132</v>
      </c>
      <c r="G21" s="66" t="s">
        <v>132</v>
      </c>
      <c r="H21" s="66" t="s">
        <v>132</v>
      </c>
      <c r="I21" s="66" t="s">
        <v>132</v>
      </c>
      <c r="J21" s="66" t="s">
        <v>132</v>
      </c>
      <c r="K21" s="66" t="s">
        <v>132</v>
      </c>
      <c r="L21" s="66" t="s">
        <v>132</v>
      </c>
      <c r="M21" s="66" t="s">
        <v>132</v>
      </c>
      <c r="N21" s="66" t="s">
        <v>132</v>
      </c>
      <c r="O21" s="66" t="s">
        <v>132</v>
      </c>
      <c r="P21" s="66">
        <v>7.1242140019687804E-3</v>
      </c>
      <c r="Q21" s="66" t="s">
        <v>132</v>
      </c>
      <c r="R21" s="66" t="s">
        <v>132</v>
      </c>
      <c r="S21" s="84" t="s">
        <v>132</v>
      </c>
      <c r="T21" s="88">
        <v>7.1242140019687804E-3</v>
      </c>
    </row>
    <row r="22" spans="1:20" ht="12.75" customHeight="1" thickBot="1" x14ac:dyDescent="0.25">
      <c r="A22" s="43" t="s">
        <v>27</v>
      </c>
      <c r="B22" s="42" t="s">
        <v>72</v>
      </c>
      <c r="C22" s="107" t="s">
        <v>132</v>
      </c>
      <c r="D22" s="108" t="s">
        <v>132</v>
      </c>
      <c r="E22" s="74" t="s">
        <v>132</v>
      </c>
      <c r="F22" s="74" t="s">
        <v>132</v>
      </c>
      <c r="G22" s="74" t="s">
        <v>132</v>
      </c>
      <c r="H22" s="74" t="s">
        <v>132</v>
      </c>
      <c r="I22" s="74" t="s">
        <v>132</v>
      </c>
      <c r="J22" s="74" t="s">
        <v>132</v>
      </c>
      <c r="K22" s="74" t="s">
        <v>132</v>
      </c>
      <c r="L22" s="74" t="s">
        <v>132</v>
      </c>
      <c r="M22" s="74" t="s">
        <v>132</v>
      </c>
      <c r="N22" s="74" t="s">
        <v>132</v>
      </c>
      <c r="O22" s="74" t="s">
        <v>132</v>
      </c>
      <c r="P22" s="74" t="s">
        <v>132</v>
      </c>
      <c r="Q22" s="74">
        <v>1.02267356085032E-2</v>
      </c>
      <c r="R22" s="74" t="s">
        <v>132</v>
      </c>
      <c r="S22" s="86" t="s">
        <v>132</v>
      </c>
      <c r="T22" s="75">
        <v>1.02267356085032E-2</v>
      </c>
    </row>
    <row r="23" spans="1:20" ht="12.75" customHeight="1" thickTop="1" thickBot="1" x14ac:dyDescent="0.25">
      <c r="A23" s="34" t="s">
        <v>0</v>
      </c>
      <c r="B23" s="41"/>
      <c r="C23" s="101">
        <v>1.6099303566310483E-2</v>
      </c>
      <c r="D23" s="102" t="s">
        <v>132</v>
      </c>
      <c r="E23" s="73">
        <v>5.5894510672804482E-3</v>
      </c>
      <c r="F23" s="73">
        <v>6.1051585965161016E-3</v>
      </c>
      <c r="G23" s="73">
        <v>9.047786135570781E-5</v>
      </c>
      <c r="H23" s="73">
        <v>3.3271828259561994E-4</v>
      </c>
      <c r="I23" s="73">
        <v>5.5042445058283741E-3</v>
      </c>
      <c r="J23" s="73">
        <v>1.489246689328835E-5</v>
      </c>
      <c r="K23" s="73">
        <v>3.317359856659778E-3</v>
      </c>
      <c r="L23" s="73">
        <v>9.0576439778996889E-3</v>
      </c>
      <c r="M23" s="73">
        <v>4.1200480893040253E-4</v>
      </c>
      <c r="N23" s="73">
        <v>1.0431197770407194E-4</v>
      </c>
      <c r="O23" s="73">
        <v>1.3692050478055447E-4</v>
      </c>
      <c r="P23" s="73">
        <v>4.9591331231249279E-2</v>
      </c>
      <c r="Q23" s="73">
        <v>1.0531640170191033E-2</v>
      </c>
      <c r="R23" s="73">
        <v>1.8949032620841799E-5</v>
      </c>
      <c r="S23" s="87">
        <v>2.1880267613107199E-2</v>
      </c>
      <c r="T23" s="90">
        <v>0.12878667551992287</v>
      </c>
    </row>
    <row r="26" spans="1:20" ht="15" x14ac:dyDescent="0.25">
      <c r="A26" s="109" t="s">
        <v>115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</row>
    <row r="27" spans="1:20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1:20" ht="13.5" thickBot="1" x14ac:dyDescent="0.25">
      <c r="A28" s="31" t="s">
        <v>133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39" thickBot="1" x14ac:dyDescent="0.25">
      <c r="A29" s="77" t="s">
        <v>65</v>
      </c>
      <c r="B29" s="76" t="s">
        <v>73</v>
      </c>
      <c r="C29" s="91" t="s">
        <v>74</v>
      </c>
      <c r="D29" s="92" t="s">
        <v>75</v>
      </c>
      <c r="E29" s="68" t="s">
        <v>50</v>
      </c>
      <c r="F29" s="68" t="s">
        <v>51</v>
      </c>
      <c r="G29" s="68" t="s">
        <v>52</v>
      </c>
      <c r="H29" s="68" t="s">
        <v>53</v>
      </c>
      <c r="I29" s="68" t="s">
        <v>63</v>
      </c>
      <c r="J29" s="68" t="s">
        <v>54</v>
      </c>
      <c r="K29" s="68" t="s">
        <v>55</v>
      </c>
      <c r="L29" s="68" t="s">
        <v>56</v>
      </c>
      <c r="M29" s="68" t="s">
        <v>57</v>
      </c>
      <c r="N29" s="68" t="s">
        <v>58</v>
      </c>
      <c r="O29" s="68" t="s">
        <v>59</v>
      </c>
      <c r="P29" s="68" t="s">
        <v>60</v>
      </c>
      <c r="Q29" s="68" t="s">
        <v>61</v>
      </c>
      <c r="R29" s="68" t="s">
        <v>81</v>
      </c>
      <c r="S29" s="83" t="s">
        <v>62</v>
      </c>
      <c r="T29" s="69" t="s">
        <v>0</v>
      </c>
    </row>
    <row r="30" spans="1:20" x14ac:dyDescent="0.2">
      <c r="A30" s="72" t="s">
        <v>67</v>
      </c>
      <c r="B30" s="78" t="s">
        <v>68</v>
      </c>
      <c r="C30" s="93">
        <v>7.094606516987686E-3</v>
      </c>
      <c r="D30" s="94">
        <v>7.3826094116166978E-4</v>
      </c>
      <c r="E30" s="66">
        <v>1.7199046101788349E-3</v>
      </c>
      <c r="F30" s="66">
        <v>1.6793408222029163E-3</v>
      </c>
      <c r="G30" s="66">
        <v>4.0563787975915897E-6</v>
      </c>
      <c r="H30" s="66">
        <v>2.839465158314109E-5</v>
      </c>
      <c r="I30" s="66">
        <v>3.9346874336638403E-4</v>
      </c>
      <c r="J30" s="66" t="s">
        <v>132</v>
      </c>
      <c r="K30" s="66">
        <v>8.1127575951831794E-6</v>
      </c>
      <c r="L30" s="66" t="s">
        <v>132</v>
      </c>
      <c r="M30" s="66">
        <v>1.095222275349729E-4</v>
      </c>
      <c r="N30" s="66">
        <v>1.2169136392774768E-5</v>
      </c>
      <c r="O30" s="66" t="s">
        <v>132</v>
      </c>
      <c r="P30" s="66" t="s">
        <v>132</v>
      </c>
      <c r="Q30" s="66" t="s">
        <v>132</v>
      </c>
      <c r="R30" s="66" t="s">
        <v>132</v>
      </c>
      <c r="S30" s="84">
        <v>2.6772100064104522E-4</v>
      </c>
      <c r="T30" s="88">
        <v>1.2055557786442199E-2</v>
      </c>
    </row>
    <row r="31" spans="1:20" x14ac:dyDescent="0.2">
      <c r="A31" s="71" t="s">
        <v>19</v>
      </c>
      <c r="B31" s="79" t="s">
        <v>68</v>
      </c>
      <c r="C31" s="103">
        <v>5.43554758877273E-4</v>
      </c>
      <c r="D31" s="104" t="s">
        <v>132</v>
      </c>
      <c r="E31" s="67" t="s">
        <v>132</v>
      </c>
      <c r="F31" s="67" t="s">
        <v>132</v>
      </c>
      <c r="G31" s="67" t="s">
        <v>132</v>
      </c>
      <c r="H31" s="67" t="s">
        <v>132</v>
      </c>
      <c r="I31" s="67" t="s">
        <v>132</v>
      </c>
      <c r="J31" s="67" t="s">
        <v>132</v>
      </c>
      <c r="K31" s="67" t="s">
        <v>132</v>
      </c>
      <c r="L31" s="67" t="s">
        <v>132</v>
      </c>
      <c r="M31" s="67" t="s">
        <v>132</v>
      </c>
      <c r="N31" s="67" t="s">
        <v>132</v>
      </c>
      <c r="O31" s="67" t="s">
        <v>132</v>
      </c>
      <c r="P31" s="67" t="s">
        <v>132</v>
      </c>
      <c r="Q31" s="67" t="s">
        <v>132</v>
      </c>
      <c r="R31" s="67" t="s">
        <v>132</v>
      </c>
      <c r="S31" s="85" t="s">
        <v>132</v>
      </c>
      <c r="T31" s="89">
        <v>5.43554758877273E-4</v>
      </c>
    </row>
    <row r="32" spans="1:20" x14ac:dyDescent="0.2">
      <c r="A32" s="72" t="s">
        <v>21</v>
      </c>
      <c r="B32" s="78" t="s">
        <v>68</v>
      </c>
      <c r="C32" s="105">
        <v>8.9240333547015006E-5</v>
      </c>
      <c r="D32" s="106" t="s">
        <v>132</v>
      </c>
      <c r="E32" s="66">
        <v>8.1127575951831794E-6</v>
      </c>
      <c r="F32" s="66">
        <v>1.17634985130156E-4</v>
      </c>
      <c r="G32" s="66" t="s">
        <v>132</v>
      </c>
      <c r="H32" s="66">
        <v>1.5414239430848001E-4</v>
      </c>
      <c r="I32" s="66">
        <v>1.91461079246323E-3</v>
      </c>
      <c r="J32" s="66" t="s">
        <v>132</v>
      </c>
      <c r="K32" s="66" t="s">
        <v>132</v>
      </c>
      <c r="L32" s="66" t="s">
        <v>132</v>
      </c>
      <c r="M32" s="66">
        <v>5.2732924368690698E-5</v>
      </c>
      <c r="N32" s="66" t="s">
        <v>132</v>
      </c>
      <c r="O32" s="66" t="s">
        <v>132</v>
      </c>
      <c r="P32" s="66" t="s">
        <v>132</v>
      </c>
      <c r="Q32" s="66" t="s">
        <v>132</v>
      </c>
      <c r="R32" s="66" t="s">
        <v>132</v>
      </c>
      <c r="S32" s="84">
        <v>1.8902725196776799E-3</v>
      </c>
      <c r="T32" s="88">
        <v>4.2267467070904348E-3</v>
      </c>
    </row>
    <row r="33" spans="1:20" x14ac:dyDescent="0.2">
      <c r="A33" s="71" t="s">
        <v>22</v>
      </c>
      <c r="B33" s="79" t="s">
        <v>68</v>
      </c>
      <c r="C33" s="103" t="s">
        <v>132</v>
      </c>
      <c r="D33" s="104" t="s">
        <v>132</v>
      </c>
      <c r="E33" s="67" t="s">
        <v>132</v>
      </c>
      <c r="F33" s="67" t="s">
        <v>132</v>
      </c>
      <c r="G33" s="67" t="s">
        <v>132</v>
      </c>
      <c r="H33" s="67" t="s">
        <v>132</v>
      </c>
      <c r="I33" s="67" t="s">
        <v>132</v>
      </c>
      <c r="J33" s="67" t="s">
        <v>132</v>
      </c>
      <c r="K33" s="67">
        <v>1.7320737566658799E-3</v>
      </c>
      <c r="L33" s="67" t="s">
        <v>132</v>
      </c>
      <c r="M33" s="67" t="s">
        <v>132</v>
      </c>
      <c r="N33" s="67" t="s">
        <v>132</v>
      </c>
      <c r="O33" s="67" t="s">
        <v>132</v>
      </c>
      <c r="P33" s="67" t="s">
        <v>132</v>
      </c>
      <c r="Q33" s="67" t="s">
        <v>132</v>
      </c>
      <c r="R33" s="67" t="s">
        <v>132</v>
      </c>
      <c r="S33" s="85" t="s">
        <v>132</v>
      </c>
      <c r="T33" s="89">
        <v>1.7320737566658799E-3</v>
      </c>
    </row>
    <row r="34" spans="1:20" x14ac:dyDescent="0.2">
      <c r="A34" s="72" t="s">
        <v>69</v>
      </c>
      <c r="B34" s="78" t="s">
        <v>68</v>
      </c>
      <c r="C34" s="105">
        <v>3.6507409178324302E-4</v>
      </c>
      <c r="D34" s="106" t="s">
        <v>132</v>
      </c>
      <c r="E34" s="66">
        <v>8.1127575951831794E-6</v>
      </c>
      <c r="F34" s="66">
        <v>1.4602963671329699E-4</v>
      </c>
      <c r="G34" s="66">
        <v>1.62255151903664E-5</v>
      </c>
      <c r="H34" s="66">
        <v>4.4620166773507503E-5</v>
      </c>
      <c r="I34" s="66">
        <v>8.4778316869664201E-4</v>
      </c>
      <c r="J34" s="66">
        <v>8.1127575951831794E-6</v>
      </c>
      <c r="K34" s="66" t="s">
        <v>132</v>
      </c>
      <c r="L34" s="66" t="s">
        <v>132</v>
      </c>
      <c r="M34" s="66">
        <v>1.2980412152293101E-4</v>
      </c>
      <c r="N34" s="66">
        <v>8.1127575951831794E-6</v>
      </c>
      <c r="O34" s="66" t="s">
        <v>132</v>
      </c>
      <c r="P34" s="66" t="s">
        <v>132</v>
      </c>
      <c r="Q34" s="66" t="s">
        <v>132</v>
      </c>
      <c r="R34" s="66">
        <v>2.0281893987957899E-5</v>
      </c>
      <c r="S34" s="84">
        <v>4.2429722222807999E-3</v>
      </c>
      <c r="T34" s="88">
        <v>5.8371290897342946E-3</v>
      </c>
    </row>
    <row r="35" spans="1:20" x14ac:dyDescent="0.2">
      <c r="A35" s="71" t="s">
        <v>77</v>
      </c>
      <c r="B35" s="79" t="s">
        <v>70</v>
      </c>
      <c r="C35" s="103">
        <v>3.2856668260491901E-4</v>
      </c>
      <c r="D35" s="104" t="s">
        <v>132</v>
      </c>
      <c r="E35" s="67" t="s">
        <v>132</v>
      </c>
      <c r="F35" s="67" t="s">
        <v>132</v>
      </c>
      <c r="G35" s="67" t="s">
        <v>132</v>
      </c>
      <c r="H35" s="67" t="s">
        <v>132</v>
      </c>
      <c r="I35" s="67">
        <v>6.2062595603151304E-4</v>
      </c>
      <c r="J35" s="67" t="s">
        <v>132</v>
      </c>
      <c r="K35" s="67">
        <v>1.70773547378606E-3</v>
      </c>
      <c r="L35" s="67">
        <v>4.6688919960279204E-3</v>
      </c>
      <c r="M35" s="67">
        <v>4.0563787975915897E-6</v>
      </c>
      <c r="N35" s="67" t="s">
        <v>132</v>
      </c>
      <c r="O35" s="67" t="s">
        <v>132</v>
      </c>
      <c r="P35" s="67" t="s">
        <v>132</v>
      </c>
      <c r="Q35" s="67" t="s">
        <v>132</v>
      </c>
      <c r="R35" s="67" t="s">
        <v>132</v>
      </c>
      <c r="S35" s="85">
        <v>1.64688979182219E-3</v>
      </c>
      <c r="T35" s="89">
        <v>8.9767662790701946E-3</v>
      </c>
    </row>
    <row r="36" spans="1:20" x14ac:dyDescent="0.2">
      <c r="A36" s="72" t="s">
        <v>28</v>
      </c>
      <c r="B36" s="78" t="s">
        <v>70</v>
      </c>
      <c r="C36" s="105" t="s">
        <v>132</v>
      </c>
      <c r="D36" s="106" t="s">
        <v>132</v>
      </c>
      <c r="E36" s="66" t="s">
        <v>132</v>
      </c>
      <c r="F36" s="66" t="s">
        <v>132</v>
      </c>
      <c r="G36" s="66" t="s">
        <v>132</v>
      </c>
      <c r="H36" s="66" t="s">
        <v>132</v>
      </c>
      <c r="I36" s="66" t="s">
        <v>132</v>
      </c>
      <c r="J36" s="66" t="s">
        <v>132</v>
      </c>
      <c r="K36" s="66" t="s">
        <v>132</v>
      </c>
      <c r="L36" s="66" t="s">
        <v>132</v>
      </c>
      <c r="M36" s="66" t="s">
        <v>132</v>
      </c>
      <c r="N36" s="66" t="s">
        <v>132</v>
      </c>
      <c r="O36" s="66" t="s">
        <v>132</v>
      </c>
      <c r="P36" s="66" t="s">
        <v>132</v>
      </c>
      <c r="Q36" s="66" t="s">
        <v>132</v>
      </c>
      <c r="R36" s="66" t="s">
        <v>132</v>
      </c>
      <c r="S36" s="84">
        <v>2.3526997026031201E-4</v>
      </c>
      <c r="T36" s="88">
        <v>2.3526997026031201E-4</v>
      </c>
    </row>
    <row r="37" spans="1:20" x14ac:dyDescent="0.2">
      <c r="A37" s="71" t="s">
        <v>29</v>
      </c>
      <c r="B37" s="79" t="s">
        <v>70</v>
      </c>
      <c r="C37" s="103" t="s">
        <v>132</v>
      </c>
      <c r="D37" s="104" t="s">
        <v>132</v>
      </c>
      <c r="E37" s="67" t="s">
        <v>132</v>
      </c>
      <c r="F37" s="67" t="s">
        <v>132</v>
      </c>
      <c r="G37" s="67" t="s">
        <v>132</v>
      </c>
      <c r="H37" s="67" t="s">
        <v>132</v>
      </c>
      <c r="I37" s="67" t="s">
        <v>132</v>
      </c>
      <c r="J37" s="67" t="s">
        <v>132</v>
      </c>
      <c r="K37" s="67" t="s">
        <v>132</v>
      </c>
      <c r="L37" s="67" t="s">
        <v>132</v>
      </c>
      <c r="M37" s="67" t="s">
        <v>132</v>
      </c>
      <c r="N37" s="67" t="s">
        <v>132</v>
      </c>
      <c r="O37" s="67" t="s">
        <v>132</v>
      </c>
      <c r="P37" s="67" t="s">
        <v>132</v>
      </c>
      <c r="Q37" s="67" t="s">
        <v>132</v>
      </c>
      <c r="R37" s="67" t="s">
        <v>132</v>
      </c>
      <c r="S37" s="85" t="s">
        <v>132</v>
      </c>
      <c r="T37" s="89" t="s">
        <v>132</v>
      </c>
    </row>
    <row r="38" spans="1:20" x14ac:dyDescent="0.2">
      <c r="A38" s="72" t="s">
        <v>30</v>
      </c>
      <c r="B38" s="78" t="s">
        <v>70</v>
      </c>
      <c r="C38" s="105" t="s">
        <v>132</v>
      </c>
      <c r="D38" s="106" t="s">
        <v>132</v>
      </c>
      <c r="E38" s="66" t="s">
        <v>132</v>
      </c>
      <c r="F38" s="66">
        <v>2.3526997026031201E-4</v>
      </c>
      <c r="G38" s="66" t="s">
        <v>132</v>
      </c>
      <c r="H38" s="66" t="s">
        <v>132</v>
      </c>
      <c r="I38" s="66">
        <v>4.50258046532666E-4</v>
      </c>
      <c r="J38" s="66" t="s">
        <v>132</v>
      </c>
      <c r="K38" s="66">
        <v>8.1127575951831794E-6</v>
      </c>
      <c r="L38" s="66" t="s">
        <v>132</v>
      </c>
      <c r="M38" s="66" t="s">
        <v>132</v>
      </c>
      <c r="N38" s="66" t="s">
        <v>132</v>
      </c>
      <c r="O38" s="66">
        <v>1.62255151903664E-4</v>
      </c>
      <c r="P38" s="66" t="s">
        <v>132</v>
      </c>
      <c r="Q38" s="66" t="s">
        <v>132</v>
      </c>
      <c r="R38" s="66" t="s">
        <v>132</v>
      </c>
      <c r="S38" s="84">
        <v>4.5390878745049899E-3</v>
      </c>
      <c r="T38" s="88">
        <v>5.394983800796815E-3</v>
      </c>
    </row>
    <row r="39" spans="1:20" x14ac:dyDescent="0.2">
      <c r="A39" s="71" t="s">
        <v>31</v>
      </c>
      <c r="B39" s="79" t="s">
        <v>70</v>
      </c>
      <c r="C39" s="103" t="s">
        <v>132</v>
      </c>
      <c r="D39" s="104" t="s">
        <v>132</v>
      </c>
      <c r="E39" s="67" t="s">
        <v>132</v>
      </c>
      <c r="F39" s="67">
        <v>8.8023419907737495E-4</v>
      </c>
      <c r="G39" s="67" t="s">
        <v>132</v>
      </c>
      <c r="H39" s="67" t="s">
        <v>132</v>
      </c>
      <c r="I39" s="67" t="s">
        <v>132</v>
      </c>
      <c r="J39" s="67" t="s">
        <v>132</v>
      </c>
      <c r="K39" s="67" t="s">
        <v>132</v>
      </c>
      <c r="L39" s="67" t="s">
        <v>132</v>
      </c>
      <c r="M39" s="67" t="s">
        <v>132</v>
      </c>
      <c r="N39" s="67" t="s">
        <v>132</v>
      </c>
      <c r="O39" s="67" t="s">
        <v>132</v>
      </c>
      <c r="P39" s="67" t="s">
        <v>132</v>
      </c>
      <c r="Q39" s="67" t="s">
        <v>132</v>
      </c>
      <c r="R39" s="67" t="s">
        <v>132</v>
      </c>
      <c r="S39" s="85">
        <v>5.3544200128209001E-4</v>
      </c>
      <c r="T39" s="89">
        <v>1.415676200359465E-3</v>
      </c>
    </row>
    <row r="40" spans="1:20" x14ac:dyDescent="0.2">
      <c r="A40" s="72" t="s">
        <v>20</v>
      </c>
      <c r="B40" s="78" t="s">
        <v>70</v>
      </c>
      <c r="C40" s="105" t="s">
        <v>132</v>
      </c>
      <c r="D40" s="106" t="s">
        <v>132</v>
      </c>
      <c r="E40" s="66" t="s">
        <v>132</v>
      </c>
      <c r="F40" s="66" t="s">
        <v>132</v>
      </c>
      <c r="G40" s="66">
        <v>3.2451030380732697E-5</v>
      </c>
      <c r="H40" s="66" t="s">
        <v>132</v>
      </c>
      <c r="I40" s="66" t="s">
        <v>132</v>
      </c>
      <c r="J40" s="66" t="s">
        <v>132</v>
      </c>
      <c r="K40" s="66" t="s">
        <v>132</v>
      </c>
      <c r="L40" s="66" t="s">
        <v>132</v>
      </c>
      <c r="M40" s="66" t="s">
        <v>132</v>
      </c>
      <c r="N40" s="66" t="s">
        <v>132</v>
      </c>
      <c r="O40" s="66" t="s">
        <v>132</v>
      </c>
      <c r="P40" s="66" t="s">
        <v>132</v>
      </c>
      <c r="Q40" s="66" t="s">
        <v>132</v>
      </c>
      <c r="R40" s="66" t="s">
        <v>132</v>
      </c>
      <c r="S40" s="84" t="s">
        <v>132</v>
      </c>
      <c r="T40" s="88">
        <v>3.2451030380732697E-5</v>
      </c>
    </row>
    <row r="41" spans="1:20" x14ac:dyDescent="0.2">
      <c r="A41" s="71" t="s">
        <v>32</v>
      </c>
      <c r="B41" s="79" t="s">
        <v>70</v>
      </c>
      <c r="C41" s="103" t="s">
        <v>132</v>
      </c>
      <c r="D41" s="104" t="s">
        <v>132</v>
      </c>
      <c r="E41" s="67">
        <v>4.0563787975915897E-6</v>
      </c>
      <c r="F41" s="67">
        <v>6.4902060761465395E-5</v>
      </c>
      <c r="G41" s="67" t="s">
        <v>132</v>
      </c>
      <c r="H41" s="67">
        <v>4.0563787975915897E-6</v>
      </c>
      <c r="I41" s="67">
        <v>1.09522227534973E-4</v>
      </c>
      <c r="J41" s="67">
        <v>8.1127575951831794E-6</v>
      </c>
      <c r="K41" s="67">
        <v>4.0563787975915897E-6</v>
      </c>
      <c r="L41" s="67" t="s">
        <v>132</v>
      </c>
      <c r="M41" s="67" t="s">
        <v>132</v>
      </c>
      <c r="N41" s="67" t="s">
        <v>132</v>
      </c>
      <c r="O41" s="67" t="s">
        <v>132</v>
      </c>
      <c r="P41" s="67" t="s">
        <v>132</v>
      </c>
      <c r="Q41" s="67" t="s">
        <v>132</v>
      </c>
      <c r="R41" s="67" t="s">
        <v>132</v>
      </c>
      <c r="S41" s="85">
        <v>7.3907221692118804E-3</v>
      </c>
      <c r="T41" s="89">
        <v>7.5854283514962765E-3</v>
      </c>
    </row>
    <row r="42" spans="1:20" x14ac:dyDescent="0.2">
      <c r="A42" s="72" t="s">
        <v>23</v>
      </c>
      <c r="B42" s="78" t="s">
        <v>71</v>
      </c>
      <c r="C42" s="105" t="s">
        <v>132</v>
      </c>
      <c r="D42" s="106" t="s">
        <v>132</v>
      </c>
      <c r="E42" s="66" t="s">
        <v>132</v>
      </c>
      <c r="F42" s="66" t="s">
        <v>132</v>
      </c>
      <c r="G42" s="66" t="s">
        <v>132</v>
      </c>
      <c r="H42" s="66" t="s">
        <v>132</v>
      </c>
      <c r="I42" s="66" t="s">
        <v>132</v>
      </c>
      <c r="J42" s="66" t="s">
        <v>132</v>
      </c>
      <c r="K42" s="66" t="s">
        <v>132</v>
      </c>
      <c r="L42" s="66">
        <v>5.8056921540529599E-3</v>
      </c>
      <c r="M42" s="66" t="s">
        <v>132</v>
      </c>
      <c r="N42" s="66" t="s">
        <v>132</v>
      </c>
      <c r="O42" s="66" t="s">
        <v>132</v>
      </c>
      <c r="P42" s="66" t="s">
        <v>132</v>
      </c>
      <c r="Q42" s="66" t="s">
        <v>132</v>
      </c>
      <c r="R42" s="66" t="s">
        <v>132</v>
      </c>
      <c r="S42" s="84" t="s">
        <v>132</v>
      </c>
      <c r="T42" s="88">
        <v>5.8056921540529599E-3</v>
      </c>
    </row>
    <row r="43" spans="1:20" x14ac:dyDescent="0.2">
      <c r="A43" s="71" t="s">
        <v>24</v>
      </c>
      <c r="B43" s="79" t="s">
        <v>72</v>
      </c>
      <c r="C43" s="103" t="s">
        <v>132</v>
      </c>
      <c r="D43" s="104" t="s">
        <v>132</v>
      </c>
      <c r="E43" s="67" t="s">
        <v>132</v>
      </c>
      <c r="F43" s="67" t="s">
        <v>132</v>
      </c>
      <c r="G43" s="67" t="s">
        <v>132</v>
      </c>
      <c r="H43" s="67" t="s">
        <v>132</v>
      </c>
      <c r="I43" s="67" t="s">
        <v>132</v>
      </c>
      <c r="J43" s="67" t="s">
        <v>132</v>
      </c>
      <c r="K43" s="67" t="s">
        <v>132</v>
      </c>
      <c r="L43" s="67" t="s">
        <v>132</v>
      </c>
      <c r="M43" s="67" t="s">
        <v>132</v>
      </c>
      <c r="N43" s="67" t="s">
        <v>132</v>
      </c>
      <c r="O43" s="67" t="s">
        <v>132</v>
      </c>
      <c r="P43" s="67">
        <v>2.5087688768404601E-2</v>
      </c>
      <c r="Q43" s="67" t="s">
        <v>132</v>
      </c>
      <c r="R43" s="67" t="s">
        <v>132</v>
      </c>
      <c r="S43" s="85" t="s">
        <v>132</v>
      </c>
      <c r="T43" s="89">
        <v>2.5087688768404601E-2</v>
      </c>
    </row>
    <row r="44" spans="1:20" x14ac:dyDescent="0.2">
      <c r="A44" s="72" t="s">
        <v>25</v>
      </c>
      <c r="B44" s="78" t="s">
        <v>72</v>
      </c>
      <c r="C44" s="105" t="s">
        <v>132</v>
      </c>
      <c r="D44" s="106" t="s">
        <v>132</v>
      </c>
      <c r="E44" s="66" t="s">
        <v>132</v>
      </c>
      <c r="F44" s="66" t="s">
        <v>132</v>
      </c>
      <c r="G44" s="66" t="s">
        <v>132</v>
      </c>
      <c r="H44" s="66" t="s">
        <v>132</v>
      </c>
      <c r="I44" s="66" t="s">
        <v>132</v>
      </c>
      <c r="J44" s="66" t="s">
        <v>132</v>
      </c>
      <c r="K44" s="66" t="s">
        <v>132</v>
      </c>
      <c r="L44" s="66" t="s">
        <v>132</v>
      </c>
      <c r="M44" s="66" t="s">
        <v>132</v>
      </c>
      <c r="N44" s="66" t="s">
        <v>132</v>
      </c>
      <c r="O44" s="66" t="s">
        <v>132</v>
      </c>
      <c r="P44" s="66">
        <v>2.0955252868358101E-2</v>
      </c>
      <c r="Q44" s="66" t="s">
        <v>132</v>
      </c>
      <c r="R44" s="66" t="s">
        <v>132</v>
      </c>
      <c r="S44" s="84" t="s">
        <v>132</v>
      </c>
      <c r="T44" s="88">
        <v>2.0955252868358101E-2</v>
      </c>
    </row>
    <row r="45" spans="1:20" x14ac:dyDescent="0.2">
      <c r="A45" s="71" t="s">
        <v>78</v>
      </c>
      <c r="B45" s="79" t="s">
        <v>72</v>
      </c>
      <c r="C45" s="103" t="s">
        <v>132</v>
      </c>
      <c r="D45" s="104" t="s">
        <v>132</v>
      </c>
      <c r="E45" s="67" t="s">
        <v>132</v>
      </c>
      <c r="F45" s="67" t="s">
        <v>132</v>
      </c>
      <c r="G45" s="67" t="s">
        <v>132</v>
      </c>
      <c r="H45" s="67" t="s">
        <v>132</v>
      </c>
      <c r="I45" s="67" t="s">
        <v>132</v>
      </c>
      <c r="J45" s="67" t="s">
        <v>132</v>
      </c>
      <c r="K45" s="67" t="s">
        <v>132</v>
      </c>
      <c r="L45" s="67" t="s">
        <v>132</v>
      </c>
      <c r="M45" s="67" t="s">
        <v>132</v>
      </c>
      <c r="N45" s="67" t="s">
        <v>132</v>
      </c>
      <c r="O45" s="67" t="s">
        <v>132</v>
      </c>
      <c r="P45" s="67" t="s">
        <v>132</v>
      </c>
      <c r="Q45" s="67">
        <v>3.5290495539046842E-4</v>
      </c>
      <c r="R45" s="67" t="s">
        <v>132</v>
      </c>
      <c r="S45" s="85" t="s">
        <v>132</v>
      </c>
      <c r="T45" s="89">
        <v>3.5290495539046842E-4</v>
      </c>
    </row>
    <row r="46" spans="1:20" x14ac:dyDescent="0.2">
      <c r="A46" s="72" t="s">
        <v>26</v>
      </c>
      <c r="B46" s="78" t="s">
        <v>72</v>
      </c>
      <c r="C46" s="105" t="s">
        <v>132</v>
      </c>
      <c r="D46" s="106" t="s">
        <v>132</v>
      </c>
      <c r="E46" s="66" t="s">
        <v>132</v>
      </c>
      <c r="F46" s="66" t="s">
        <v>132</v>
      </c>
      <c r="G46" s="66" t="s">
        <v>132</v>
      </c>
      <c r="H46" s="66" t="s">
        <v>132</v>
      </c>
      <c r="I46" s="66" t="s">
        <v>132</v>
      </c>
      <c r="J46" s="66" t="s">
        <v>132</v>
      </c>
      <c r="K46" s="66" t="s">
        <v>132</v>
      </c>
      <c r="L46" s="66" t="s">
        <v>132</v>
      </c>
      <c r="M46" s="66" t="s">
        <v>132</v>
      </c>
      <c r="N46" s="66" t="s">
        <v>132</v>
      </c>
      <c r="O46" s="66" t="s">
        <v>132</v>
      </c>
      <c r="P46" s="66">
        <v>7.9870098524578402E-3</v>
      </c>
      <c r="Q46" s="66" t="s">
        <v>132</v>
      </c>
      <c r="R46" s="66" t="s">
        <v>132</v>
      </c>
      <c r="S46" s="84" t="s">
        <v>132</v>
      </c>
      <c r="T46" s="88">
        <v>7.9870098524578402E-3</v>
      </c>
    </row>
    <row r="47" spans="1:20" ht="13.5" thickBot="1" x14ac:dyDescent="0.25">
      <c r="A47" s="82" t="s">
        <v>27</v>
      </c>
      <c r="B47" s="81" t="s">
        <v>72</v>
      </c>
      <c r="C47" s="107" t="s">
        <v>132</v>
      </c>
      <c r="D47" s="108" t="s">
        <v>132</v>
      </c>
      <c r="E47" s="74" t="s">
        <v>132</v>
      </c>
      <c r="F47" s="74" t="s">
        <v>132</v>
      </c>
      <c r="G47" s="74" t="s">
        <v>132</v>
      </c>
      <c r="H47" s="74" t="s">
        <v>132</v>
      </c>
      <c r="I47" s="74" t="s">
        <v>132</v>
      </c>
      <c r="J47" s="74" t="s">
        <v>132</v>
      </c>
      <c r="K47" s="74" t="s">
        <v>132</v>
      </c>
      <c r="L47" s="74" t="s">
        <v>132</v>
      </c>
      <c r="M47" s="74" t="s">
        <v>132</v>
      </c>
      <c r="N47" s="74" t="s">
        <v>132</v>
      </c>
      <c r="O47" s="74" t="s">
        <v>132</v>
      </c>
      <c r="P47" s="74" t="s">
        <v>132</v>
      </c>
      <c r="Q47" s="74">
        <v>1.17432166190277E-2</v>
      </c>
      <c r="R47" s="74" t="s">
        <v>132</v>
      </c>
      <c r="S47" s="86" t="s">
        <v>132</v>
      </c>
      <c r="T47" s="75">
        <v>1.17432166190277E-2</v>
      </c>
    </row>
    <row r="48" spans="1:20" ht="14.25" thickTop="1" thickBot="1" x14ac:dyDescent="0.25">
      <c r="A48" s="70" t="s">
        <v>0</v>
      </c>
      <c r="B48" s="80"/>
      <c r="C48" s="101">
        <v>9.1593033249618063E-3</v>
      </c>
      <c r="D48" s="102" t="s">
        <v>132</v>
      </c>
      <c r="E48" s="73">
        <v>1.7401865041667929E-3</v>
      </c>
      <c r="F48" s="73">
        <v>3.1234116741455215E-3</v>
      </c>
      <c r="G48" s="73">
        <v>5.2732924368690691E-5</v>
      </c>
      <c r="H48" s="73">
        <v>2.3121359146272019E-4</v>
      </c>
      <c r="I48" s="73">
        <v>4.3362689346254082E-3</v>
      </c>
      <c r="J48" s="73">
        <v>1.6225515190366359E-5</v>
      </c>
      <c r="K48" s="73">
        <v>3.4600911244398974E-3</v>
      </c>
      <c r="L48" s="73">
        <v>1.047458415008088E-2</v>
      </c>
      <c r="M48" s="73">
        <v>2.9611565222418623E-4</v>
      </c>
      <c r="N48" s="73">
        <v>2.0281893987957946E-5</v>
      </c>
      <c r="O48" s="73">
        <v>1.62255151903664E-4</v>
      </c>
      <c r="P48" s="73">
        <v>5.4029951489220546E-2</v>
      </c>
      <c r="Q48" s="73">
        <v>1.2096121574418169E-2</v>
      </c>
      <c r="R48" s="73">
        <v>2.0281893987957899E-5</v>
      </c>
      <c r="S48" s="87">
        <v>2.0748377549680987E-2</v>
      </c>
      <c r="T48" s="90">
        <v>0.11996740294886556</v>
      </c>
    </row>
    <row r="51" spans="1:20" ht="15" x14ac:dyDescent="0.25">
      <c r="A51" s="109" t="s">
        <v>117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</row>
    <row r="52" spans="1:20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13.5" thickBot="1" x14ac:dyDescent="0.25">
      <c r="A53" s="31" t="s">
        <v>133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</row>
    <row r="54" spans="1:20" ht="39" thickBot="1" x14ac:dyDescent="0.25">
      <c r="A54" s="77" t="s">
        <v>65</v>
      </c>
      <c r="B54" s="76" t="s">
        <v>73</v>
      </c>
      <c r="C54" s="91" t="s">
        <v>74</v>
      </c>
      <c r="D54" s="92" t="s">
        <v>75</v>
      </c>
      <c r="E54" s="68" t="s">
        <v>50</v>
      </c>
      <c r="F54" s="68" t="s">
        <v>51</v>
      </c>
      <c r="G54" s="68" t="s">
        <v>52</v>
      </c>
      <c r="H54" s="68" t="s">
        <v>53</v>
      </c>
      <c r="I54" s="68" t="s">
        <v>63</v>
      </c>
      <c r="J54" s="68" t="s">
        <v>54</v>
      </c>
      <c r="K54" s="68" t="s">
        <v>55</v>
      </c>
      <c r="L54" s="68" t="s">
        <v>56</v>
      </c>
      <c r="M54" s="68" t="s">
        <v>57</v>
      </c>
      <c r="N54" s="68" t="s">
        <v>58</v>
      </c>
      <c r="O54" s="68" t="s">
        <v>59</v>
      </c>
      <c r="P54" s="68" t="s">
        <v>60</v>
      </c>
      <c r="Q54" s="68" t="s">
        <v>61</v>
      </c>
      <c r="R54" s="68" t="s">
        <v>81</v>
      </c>
      <c r="S54" s="83" t="s">
        <v>62</v>
      </c>
      <c r="T54" s="69" t="s">
        <v>0</v>
      </c>
    </row>
    <row r="55" spans="1:20" x14ac:dyDescent="0.2">
      <c r="A55" s="72" t="s">
        <v>67</v>
      </c>
      <c r="B55" s="78" t="s">
        <v>68</v>
      </c>
      <c r="C55" s="93">
        <v>9.5243753981218982E-2</v>
      </c>
      <c r="D55" s="94">
        <v>8.0327833363918744E-3</v>
      </c>
      <c r="E55" s="66">
        <v>5.5367248813130564E-2</v>
      </c>
      <c r="F55" s="66">
        <v>4.2522165000900107E-2</v>
      </c>
      <c r="G55" s="66">
        <v>3.5926439233862798E-4</v>
      </c>
      <c r="H55" s="66">
        <v>3.0399294736345429E-4</v>
      </c>
      <c r="I55" s="66">
        <v>4.909946695294585E-3</v>
      </c>
      <c r="J55" s="66" t="s">
        <v>132</v>
      </c>
      <c r="K55" s="66">
        <v>9.2119074958622503E-6</v>
      </c>
      <c r="L55" s="66" t="s">
        <v>132</v>
      </c>
      <c r="M55" s="66">
        <v>1.3817861243793383E-3</v>
      </c>
      <c r="N55" s="66">
        <v>1.2067598819579558E-3</v>
      </c>
      <c r="O55" s="66" t="s">
        <v>132</v>
      </c>
      <c r="P55" s="66" t="s">
        <v>132</v>
      </c>
      <c r="Q55" s="66" t="s">
        <v>132</v>
      </c>
      <c r="R55" s="66" t="s">
        <v>132</v>
      </c>
      <c r="S55" s="84">
        <v>1.8239576841807253E-3</v>
      </c>
      <c r="T55" s="88">
        <v>0.21116087076465209</v>
      </c>
    </row>
    <row r="56" spans="1:20" x14ac:dyDescent="0.2">
      <c r="A56" s="71" t="s">
        <v>19</v>
      </c>
      <c r="B56" s="79" t="s">
        <v>68</v>
      </c>
      <c r="C56" s="103">
        <v>9.1013646059118995E-3</v>
      </c>
      <c r="D56" s="104" t="s">
        <v>132</v>
      </c>
      <c r="E56" s="67" t="s">
        <v>132</v>
      </c>
      <c r="F56" s="67" t="s">
        <v>132</v>
      </c>
      <c r="G56" s="67" t="s">
        <v>132</v>
      </c>
      <c r="H56" s="67" t="s">
        <v>132</v>
      </c>
      <c r="I56" s="67" t="s">
        <v>132</v>
      </c>
      <c r="J56" s="67" t="s">
        <v>132</v>
      </c>
      <c r="K56" s="67" t="s">
        <v>132</v>
      </c>
      <c r="L56" s="67" t="s">
        <v>132</v>
      </c>
      <c r="M56" s="67" t="s">
        <v>132</v>
      </c>
      <c r="N56" s="67" t="s">
        <v>132</v>
      </c>
      <c r="O56" s="67" t="s">
        <v>132</v>
      </c>
      <c r="P56" s="67" t="s">
        <v>132</v>
      </c>
      <c r="Q56" s="67" t="s">
        <v>132</v>
      </c>
      <c r="R56" s="67" t="s">
        <v>132</v>
      </c>
      <c r="S56" s="85" t="s">
        <v>132</v>
      </c>
      <c r="T56" s="89">
        <v>9.1013646059118995E-3</v>
      </c>
    </row>
    <row r="57" spans="1:20" x14ac:dyDescent="0.2">
      <c r="A57" s="72" t="s">
        <v>21</v>
      </c>
      <c r="B57" s="78" t="s">
        <v>68</v>
      </c>
      <c r="C57" s="105">
        <v>9.2119074958622503E-6</v>
      </c>
      <c r="D57" s="106" t="s">
        <v>132</v>
      </c>
      <c r="E57" s="66">
        <v>9.2119074958622497E-5</v>
      </c>
      <c r="F57" s="66">
        <v>4.9744300477656096E-4</v>
      </c>
      <c r="G57" s="66" t="s">
        <v>132</v>
      </c>
      <c r="H57" s="66">
        <v>1.2436075119414E-3</v>
      </c>
      <c r="I57" s="66">
        <v>1.3163815811587201E-2</v>
      </c>
      <c r="J57" s="66" t="s">
        <v>132</v>
      </c>
      <c r="K57" s="66" t="s">
        <v>132</v>
      </c>
      <c r="L57" s="66" t="s">
        <v>132</v>
      </c>
      <c r="M57" s="66">
        <v>2.7635722487586798E-5</v>
      </c>
      <c r="N57" s="66" t="s">
        <v>132</v>
      </c>
      <c r="O57" s="66" t="s">
        <v>132</v>
      </c>
      <c r="P57" s="66" t="s">
        <v>132</v>
      </c>
      <c r="Q57" s="66" t="s">
        <v>132</v>
      </c>
      <c r="R57" s="66" t="s">
        <v>132</v>
      </c>
      <c r="S57" s="84">
        <v>4.4217155980138803E-3</v>
      </c>
      <c r="T57" s="88">
        <v>1.9455548631261112E-2</v>
      </c>
    </row>
    <row r="58" spans="1:20" x14ac:dyDescent="0.2">
      <c r="A58" s="71" t="s">
        <v>22</v>
      </c>
      <c r="B58" s="79" t="s">
        <v>68</v>
      </c>
      <c r="C58" s="103" t="s">
        <v>132</v>
      </c>
      <c r="D58" s="104" t="s">
        <v>132</v>
      </c>
      <c r="E58" s="67" t="s">
        <v>132</v>
      </c>
      <c r="F58" s="67" t="s">
        <v>132</v>
      </c>
      <c r="G58" s="67" t="s">
        <v>132</v>
      </c>
      <c r="H58" s="67" t="s">
        <v>132</v>
      </c>
      <c r="I58" s="67" t="s">
        <v>132</v>
      </c>
      <c r="J58" s="67" t="s">
        <v>132</v>
      </c>
      <c r="K58" s="67">
        <v>4.2190536336539804E-3</v>
      </c>
      <c r="L58" s="67" t="s">
        <v>132</v>
      </c>
      <c r="M58" s="67" t="s">
        <v>132</v>
      </c>
      <c r="N58" s="67" t="s">
        <v>132</v>
      </c>
      <c r="O58" s="67" t="s">
        <v>132</v>
      </c>
      <c r="P58" s="67" t="s">
        <v>132</v>
      </c>
      <c r="Q58" s="67" t="s">
        <v>132</v>
      </c>
      <c r="R58" s="67" t="s">
        <v>132</v>
      </c>
      <c r="S58" s="85" t="s">
        <v>132</v>
      </c>
      <c r="T58" s="89">
        <v>4.2190536336539804E-3</v>
      </c>
    </row>
    <row r="59" spans="1:20" x14ac:dyDescent="0.2">
      <c r="A59" s="72" t="s">
        <v>69</v>
      </c>
      <c r="B59" s="78" t="s">
        <v>68</v>
      </c>
      <c r="C59" s="105">
        <v>1.6581433492552099E-4</v>
      </c>
      <c r="D59" s="106" t="s">
        <v>132</v>
      </c>
      <c r="E59" s="66">
        <v>4.6059537479311303E-5</v>
      </c>
      <c r="F59" s="66">
        <v>5.0665491227242399E-4</v>
      </c>
      <c r="G59" s="66">
        <v>2.4872150238828102E-4</v>
      </c>
      <c r="H59" s="66">
        <v>2.5793340988414302E-4</v>
      </c>
      <c r="I59" s="66">
        <v>2.7359365262710901E-3</v>
      </c>
      <c r="J59" s="66">
        <v>1.8423814991724501E-5</v>
      </c>
      <c r="K59" s="66" t="s">
        <v>132</v>
      </c>
      <c r="L59" s="66" t="s">
        <v>132</v>
      </c>
      <c r="M59" s="66">
        <v>4.1453583731380098E-4</v>
      </c>
      <c r="N59" s="66" t="s">
        <v>132</v>
      </c>
      <c r="O59" s="66" t="s">
        <v>132</v>
      </c>
      <c r="P59" s="66" t="s">
        <v>132</v>
      </c>
      <c r="Q59" s="66" t="s">
        <v>132</v>
      </c>
      <c r="R59" s="66">
        <v>2.7635722487586798E-5</v>
      </c>
      <c r="S59" s="84">
        <v>6.19040183721943E-3</v>
      </c>
      <c r="T59" s="88">
        <v>1.0612117435233312E-2</v>
      </c>
    </row>
    <row r="60" spans="1:20" x14ac:dyDescent="0.2">
      <c r="A60" s="71" t="s">
        <v>77</v>
      </c>
      <c r="B60" s="79" t="s">
        <v>70</v>
      </c>
      <c r="C60" s="103">
        <v>3.5005248484276598E-4</v>
      </c>
      <c r="D60" s="104" t="s">
        <v>132</v>
      </c>
      <c r="E60" s="67" t="s">
        <v>132</v>
      </c>
      <c r="F60" s="67" t="s">
        <v>132</v>
      </c>
      <c r="G60" s="67" t="s">
        <v>132</v>
      </c>
      <c r="H60" s="67" t="s">
        <v>132</v>
      </c>
      <c r="I60" s="67">
        <v>1.0409455470324299E-3</v>
      </c>
      <c r="J60" s="67" t="s">
        <v>132</v>
      </c>
      <c r="K60" s="67">
        <v>1.2620313269331299E-3</v>
      </c>
      <c r="L60" s="67">
        <v>3.22416762355179E-4</v>
      </c>
      <c r="M60" s="67" t="s">
        <v>132</v>
      </c>
      <c r="N60" s="67" t="s">
        <v>132</v>
      </c>
      <c r="O60" s="67" t="s">
        <v>132</v>
      </c>
      <c r="P60" s="67" t="s">
        <v>132</v>
      </c>
      <c r="Q60" s="67" t="s">
        <v>132</v>
      </c>
      <c r="R60" s="67" t="s">
        <v>132</v>
      </c>
      <c r="S60" s="85">
        <v>7.3695259966897997E-4</v>
      </c>
      <c r="T60" s="89">
        <v>3.7123987208324844E-3</v>
      </c>
    </row>
    <row r="61" spans="1:20" x14ac:dyDescent="0.2">
      <c r="A61" s="72" t="s">
        <v>28</v>
      </c>
      <c r="B61" s="78" t="s">
        <v>70</v>
      </c>
      <c r="C61" s="105" t="s">
        <v>132</v>
      </c>
      <c r="D61" s="106" t="s">
        <v>132</v>
      </c>
      <c r="E61" s="66">
        <v>3.40840577346903E-4</v>
      </c>
      <c r="F61" s="66" t="s">
        <v>132</v>
      </c>
      <c r="G61" s="66" t="s">
        <v>132</v>
      </c>
      <c r="H61" s="66" t="s">
        <v>132</v>
      </c>
      <c r="I61" s="66" t="s">
        <v>132</v>
      </c>
      <c r="J61" s="66" t="s">
        <v>132</v>
      </c>
      <c r="K61" s="66" t="s">
        <v>132</v>
      </c>
      <c r="L61" s="66" t="s">
        <v>132</v>
      </c>
      <c r="M61" s="66" t="s">
        <v>132</v>
      </c>
      <c r="N61" s="66" t="s">
        <v>132</v>
      </c>
      <c r="O61" s="66" t="s">
        <v>132</v>
      </c>
      <c r="P61" s="66" t="s">
        <v>132</v>
      </c>
      <c r="Q61" s="66" t="s">
        <v>132</v>
      </c>
      <c r="R61" s="66" t="s">
        <v>132</v>
      </c>
      <c r="S61" s="84">
        <v>2.9017508611966099E-3</v>
      </c>
      <c r="T61" s="88">
        <v>3.2425914385435131E-3</v>
      </c>
    </row>
    <row r="62" spans="1:20" x14ac:dyDescent="0.2">
      <c r="A62" s="71" t="s">
        <v>29</v>
      </c>
      <c r="B62" s="79" t="s">
        <v>70</v>
      </c>
      <c r="C62" s="103" t="s">
        <v>132</v>
      </c>
      <c r="D62" s="104" t="s">
        <v>132</v>
      </c>
      <c r="E62" s="67" t="s">
        <v>132</v>
      </c>
      <c r="F62" s="67" t="s">
        <v>132</v>
      </c>
      <c r="G62" s="67" t="s">
        <v>132</v>
      </c>
      <c r="H62" s="67" t="s">
        <v>132</v>
      </c>
      <c r="I62" s="67">
        <v>4.6059537479311303E-5</v>
      </c>
      <c r="J62" s="67" t="s">
        <v>132</v>
      </c>
      <c r="K62" s="67" t="s">
        <v>132</v>
      </c>
      <c r="L62" s="67" t="s">
        <v>132</v>
      </c>
      <c r="M62" s="67" t="s">
        <v>132</v>
      </c>
      <c r="N62" s="67" t="s">
        <v>132</v>
      </c>
      <c r="O62" s="67" t="s">
        <v>132</v>
      </c>
      <c r="P62" s="67" t="s">
        <v>132</v>
      </c>
      <c r="Q62" s="67" t="s">
        <v>132</v>
      </c>
      <c r="R62" s="67" t="s">
        <v>132</v>
      </c>
      <c r="S62" s="85">
        <v>7.07474495682221E-3</v>
      </c>
      <c r="T62" s="89">
        <v>7.1208044943015213E-3</v>
      </c>
    </row>
    <row r="63" spans="1:20" x14ac:dyDescent="0.2">
      <c r="A63" s="72" t="s">
        <v>30</v>
      </c>
      <c r="B63" s="78" t="s">
        <v>70</v>
      </c>
      <c r="C63" s="105" t="s">
        <v>132</v>
      </c>
      <c r="D63" s="106" t="s">
        <v>132</v>
      </c>
      <c r="E63" s="66" t="s">
        <v>132</v>
      </c>
      <c r="F63" s="66">
        <v>3.6847629983449001E-5</v>
      </c>
      <c r="G63" s="66" t="s">
        <v>132</v>
      </c>
      <c r="H63" s="66">
        <v>1.8423814991724501E-5</v>
      </c>
      <c r="I63" s="66">
        <v>2.33061259645315E-3</v>
      </c>
      <c r="J63" s="66" t="s">
        <v>132</v>
      </c>
      <c r="K63" s="66" t="s">
        <v>132</v>
      </c>
      <c r="L63" s="66" t="s">
        <v>132</v>
      </c>
      <c r="M63" s="66">
        <v>9.2119074958622503E-6</v>
      </c>
      <c r="N63" s="66" t="s">
        <v>132</v>
      </c>
      <c r="O63" s="66" t="s">
        <v>132</v>
      </c>
      <c r="P63" s="66" t="s">
        <v>132</v>
      </c>
      <c r="Q63" s="66" t="s">
        <v>132</v>
      </c>
      <c r="R63" s="66" t="s">
        <v>132</v>
      </c>
      <c r="S63" s="84">
        <v>1.8571205511658299E-2</v>
      </c>
      <c r="T63" s="88">
        <v>2.0966301460582485E-2</v>
      </c>
    </row>
    <row r="64" spans="1:20" x14ac:dyDescent="0.2">
      <c r="A64" s="71" t="s">
        <v>31</v>
      </c>
      <c r="B64" s="79" t="s">
        <v>70</v>
      </c>
      <c r="C64" s="103" t="s">
        <v>132</v>
      </c>
      <c r="D64" s="104" t="s">
        <v>132</v>
      </c>
      <c r="E64" s="67" t="s">
        <v>132</v>
      </c>
      <c r="F64" s="67">
        <v>3.8413654257745599E-3</v>
      </c>
      <c r="G64" s="67" t="s">
        <v>132</v>
      </c>
      <c r="H64" s="67" t="s">
        <v>132</v>
      </c>
      <c r="I64" s="67">
        <v>3.8690011482621502E-4</v>
      </c>
      <c r="J64" s="67" t="s">
        <v>132</v>
      </c>
      <c r="K64" s="67" t="s">
        <v>132</v>
      </c>
      <c r="L64" s="67" t="s">
        <v>132</v>
      </c>
      <c r="M64" s="67" t="s">
        <v>132</v>
      </c>
      <c r="N64" s="67" t="s">
        <v>132</v>
      </c>
      <c r="O64" s="67" t="s">
        <v>132</v>
      </c>
      <c r="P64" s="67" t="s">
        <v>132</v>
      </c>
      <c r="Q64" s="67" t="s">
        <v>132</v>
      </c>
      <c r="R64" s="67" t="s">
        <v>132</v>
      </c>
      <c r="S64" s="85">
        <v>2.6346055438166002E-3</v>
      </c>
      <c r="T64" s="89">
        <v>6.8628710844173754E-3</v>
      </c>
    </row>
    <row r="65" spans="1:20" x14ac:dyDescent="0.2">
      <c r="A65" s="72" t="s">
        <v>20</v>
      </c>
      <c r="B65" s="78" t="s">
        <v>70</v>
      </c>
      <c r="C65" s="105" t="s">
        <v>132</v>
      </c>
      <c r="D65" s="106" t="s">
        <v>132</v>
      </c>
      <c r="E65" s="66" t="s">
        <v>132</v>
      </c>
      <c r="F65" s="66" t="s">
        <v>132</v>
      </c>
      <c r="G65" s="66" t="s">
        <v>132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 t="s">
        <v>132</v>
      </c>
      <c r="M65" s="66" t="s">
        <v>132</v>
      </c>
      <c r="N65" s="66" t="s">
        <v>132</v>
      </c>
      <c r="O65" s="66" t="s">
        <v>132</v>
      </c>
      <c r="P65" s="66" t="s">
        <v>132</v>
      </c>
      <c r="Q65" s="66" t="s">
        <v>132</v>
      </c>
      <c r="R65" s="66" t="s">
        <v>132</v>
      </c>
      <c r="S65" s="84" t="s">
        <v>132</v>
      </c>
      <c r="T65" s="88" t="s">
        <v>132</v>
      </c>
    </row>
    <row r="66" spans="1:20" x14ac:dyDescent="0.2">
      <c r="A66" s="71" t="s">
        <v>32</v>
      </c>
      <c r="B66" s="79" t="s">
        <v>70</v>
      </c>
      <c r="C66" s="103">
        <v>1.28966704942072E-4</v>
      </c>
      <c r="D66" s="104" t="s">
        <v>132</v>
      </c>
      <c r="E66" s="67" t="s">
        <v>132</v>
      </c>
      <c r="F66" s="67">
        <v>4.6059537479311303E-5</v>
      </c>
      <c r="G66" s="67" t="s">
        <v>132</v>
      </c>
      <c r="H66" s="67">
        <v>3.6847629983449001E-5</v>
      </c>
      <c r="I66" s="67">
        <v>5.5271444975173503E-4</v>
      </c>
      <c r="J66" s="67" t="s">
        <v>132</v>
      </c>
      <c r="K66" s="67">
        <v>4.6059537479311303E-5</v>
      </c>
      <c r="L66" s="67" t="s">
        <v>132</v>
      </c>
      <c r="M66" s="67">
        <v>1.7502624242138299E-4</v>
      </c>
      <c r="N66" s="67" t="s">
        <v>132</v>
      </c>
      <c r="O66" s="67">
        <v>1.8423814991724501E-5</v>
      </c>
      <c r="P66" s="67" t="s">
        <v>132</v>
      </c>
      <c r="Q66" s="67" t="s">
        <v>132</v>
      </c>
      <c r="R66" s="67" t="s">
        <v>132</v>
      </c>
      <c r="S66" s="85">
        <v>1.2822975234240299E-2</v>
      </c>
      <c r="T66" s="89">
        <v>1.3827073151289285E-2</v>
      </c>
    </row>
    <row r="67" spans="1:20" x14ac:dyDescent="0.2">
      <c r="A67" s="72" t="s">
        <v>23</v>
      </c>
      <c r="B67" s="78" t="s">
        <v>71</v>
      </c>
      <c r="C67" s="105" t="s">
        <v>132</v>
      </c>
      <c r="D67" s="106" t="s">
        <v>132</v>
      </c>
      <c r="E67" s="66" t="s">
        <v>132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 t="s">
        <v>132</v>
      </c>
      <c r="K67" s="66" t="s">
        <v>132</v>
      </c>
      <c r="L67" s="66">
        <v>1.3698106446347199E-3</v>
      </c>
      <c r="M67" s="66" t="s">
        <v>132</v>
      </c>
      <c r="N67" s="66" t="s">
        <v>132</v>
      </c>
      <c r="O67" s="66" t="s">
        <v>132</v>
      </c>
      <c r="P67" s="66" t="s">
        <v>132</v>
      </c>
      <c r="Q67" s="66" t="s">
        <v>132</v>
      </c>
      <c r="R67" s="66" t="s">
        <v>132</v>
      </c>
      <c r="S67" s="84" t="s">
        <v>132</v>
      </c>
      <c r="T67" s="88">
        <v>1.3698106446347199E-3</v>
      </c>
    </row>
    <row r="68" spans="1:20" x14ac:dyDescent="0.2">
      <c r="A68" s="71" t="s">
        <v>24</v>
      </c>
      <c r="B68" s="79" t="s">
        <v>72</v>
      </c>
      <c r="C68" s="103" t="s">
        <v>132</v>
      </c>
      <c r="D68" s="104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 t="s">
        <v>132</v>
      </c>
      <c r="M68" s="67" t="s">
        <v>132</v>
      </c>
      <c r="N68" s="67" t="s">
        <v>132</v>
      </c>
      <c r="O68" s="67" t="s">
        <v>132</v>
      </c>
      <c r="P68" s="67">
        <v>8.7107797280873492E-3</v>
      </c>
      <c r="Q68" s="67" t="s">
        <v>132</v>
      </c>
      <c r="R68" s="67" t="s">
        <v>132</v>
      </c>
      <c r="S68" s="85" t="s">
        <v>132</v>
      </c>
      <c r="T68" s="89">
        <v>8.7107797280873492E-3</v>
      </c>
    </row>
    <row r="69" spans="1:20" x14ac:dyDescent="0.2">
      <c r="A69" s="72" t="s">
        <v>25</v>
      </c>
      <c r="B69" s="78" t="s">
        <v>72</v>
      </c>
      <c r="C69" s="105" t="s">
        <v>132</v>
      </c>
      <c r="D69" s="106" t="s">
        <v>132</v>
      </c>
      <c r="E69" s="66" t="s">
        <v>132</v>
      </c>
      <c r="F69" s="66" t="s">
        <v>132</v>
      </c>
      <c r="G69" s="66" t="s">
        <v>132</v>
      </c>
      <c r="H69" s="66" t="s">
        <v>132</v>
      </c>
      <c r="I69" s="66" t="s">
        <v>132</v>
      </c>
      <c r="J69" s="66" t="s">
        <v>132</v>
      </c>
      <c r="K69" s="66" t="s">
        <v>132</v>
      </c>
      <c r="L69" s="66" t="s">
        <v>132</v>
      </c>
      <c r="M69" s="66" t="s">
        <v>132</v>
      </c>
      <c r="N69" s="66" t="s">
        <v>132</v>
      </c>
      <c r="O69" s="66" t="s">
        <v>132</v>
      </c>
      <c r="P69" s="66">
        <v>3.03910040195992E-2</v>
      </c>
      <c r="Q69" s="66" t="s">
        <v>132</v>
      </c>
      <c r="R69" s="66" t="s">
        <v>132</v>
      </c>
      <c r="S69" s="84" t="s">
        <v>132</v>
      </c>
      <c r="T69" s="88">
        <v>3.03910040195992E-2</v>
      </c>
    </row>
    <row r="70" spans="1:20" x14ac:dyDescent="0.2">
      <c r="A70" s="71" t="s">
        <v>78</v>
      </c>
      <c r="B70" s="79" t="s">
        <v>72</v>
      </c>
      <c r="C70" s="103" t="s">
        <v>132</v>
      </c>
      <c r="D70" s="104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67" t="s">
        <v>132</v>
      </c>
      <c r="Q70" s="67">
        <v>1.3817861243793376E-4</v>
      </c>
      <c r="R70" s="67" t="s">
        <v>132</v>
      </c>
      <c r="S70" s="85" t="s">
        <v>132</v>
      </c>
      <c r="T70" s="89">
        <v>1.3817861243793376E-4</v>
      </c>
    </row>
    <row r="71" spans="1:20" x14ac:dyDescent="0.2">
      <c r="A71" s="72" t="s">
        <v>26</v>
      </c>
      <c r="B71" s="78" t="s">
        <v>72</v>
      </c>
      <c r="C71" s="105" t="s">
        <v>132</v>
      </c>
      <c r="D71" s="106" t="s">
        <v>132</v>
      </c>
      <c r="E71" s="66" t="s">
        <v>132</v>
      </c>
      <c r="F71" s="66" t="s">
        <v>132</v>
      </c>
      <c r="G71" s="66" t="s">
        <v>132</v>
      </c>
      <c r="H71" s="66" t="s">
        <v>132</v>
      </c>
      <c r="I71" s="66" t="s">
        <v>132</v>
      </c>
      <c r="J71" s="66" t="s">
        <v>132</v>
      </c>
      <c r="K71" s="66" t="s">
        <v>132</v>
      </c>
      <c r="L71" s="66" t="s">
        <v>132</v>
      </c>
      <c r="M71" s="66" t="s">
        <v>132</v>
      </c>
      <c r="N71" s="66" t="s">
        <v>132</v>
      </c>
      <c r="O71" s="66" t="s">
        <v>132</v>
      </c>
      <c r="P71" s="66">
        <v>3.4176176809648999E-3</v>
      </c>
      <c r="Q71" s="66" t="s">
        <v>132</v>
      </c>
      <c r="R71" s="66" t="s">
        <v>132</v>
      </c>
      <c r="S71" s="84" t="s">
        <v>132</v>
      </c>
      <c r="T71" s="88">
        <v>3.4176176809648999E-3</v>
      </c>
    </row>
    <row r="72" spans="1:20" ht="13.5" thickBot="1" x14ac:dyDescent="0.25">
      <c r="A72" s="82" t="s">
        <v>27</v>
      </c>
      <c r="B72" s="81" t="s">
        <v>72</v>
      </c>
      <c r="C72" s="107" t="s">
        <v>132</v>
      </c>
      <c r="D72" s="108" t="s">
        <v>132</v>
      </c>
      <c r="E72" s="74" t="s">
        <v>132</v>
      </c>
      <c r="F72" s="74" t="s">
        <v>132</v>
      </c>
      <c r="G72" s="74" t="s">
        <v>132</v>
      </c>
      <c r="H72" s="74" t="s">
        <v>132</v>
      </c>
      <c r="I72" s="74" t="s">
        <v>132</v>
      </c>
      <c r="J72" s="74" t="s">
        <v>132</v>
      </c>
      <c r="K72" s="74" t="s">
        <v>132</v>
      </c>
      <c r="L72" s="74" t="s">
        <v>132</v>
      </c>
      <c r="M72" s="74" t="s">
        <v>132</v>
      </c>
      <c r="N72" s="74" t="s">
        <v>132</v>
      </c>
      <c r="O72" s="74" t="s">
        <v>132</v>
      </c>
      <c r="P72" s="74" t="s">
        <v>132</v>
      </c>
      <c r="Q72" s="74">
        <v>3.77688207330352E-3</v>
      </c>
      <c r="R72" s="74" t="s">
        <v>132</v>
      </c>
      <c r="S72" s="86" t="s">
        <v>132</v>
      </c>
      <c r="T72" s="75">
        <v>3.77688207330352E-3</v>
      </c>
    </row>
    <row r="73" spans="1:20" ht="14.25" thickTop="1" thickBot="1" x14ac:dyDescent="0.25">
      <c r="A73" s="70" t="s">
        <v>0</v>
      </c>
      <c r="B73" s="80"/>
      <c r="C73" s="101">
        <v>0.11303194735572898</v>
      </c>
      <c r="D73" s="102" t="s">
        <v>132</v>
      </c>
      <c r="E73" s="73">
        <v>5.5846268002915402E-2</v>
      </c>
      <c r="F73" s="73">
        <v>4.7450535511186415E-2</v>
      </c>
      <c r="G73" s="73">
        <v>6.07985894726909E-4</v>
      </c>
      <c r="H73" s="73">
        <v>1.8608053141641709E-3</v>
      </c>
      <c r="I73" s="73">
        <v>2.5166931278695719E-2</v>
      </c>
      <c r="J73" s="73">
        <v>1.8423814991724501E-5</v>
      </c>
      <c r="K73" s="73">
        <v>5.5363564055622844E-3</v>
      </c>
      <c r="L73" s="73">
        <v>1.692227406989899E-3</v>
      </c>
      <c r="M73" s="73">
        <v>2.0081958340979712E-3</v>
      </c>
      <c r="N73" s="73">
        <v>1.2067598819579558E-3</v>
      </c>
      <c r="O73" s="73">
        <v>1.8423814991724501E-5</v>
      </c>
      <c r="P73" s="73">
        <v>4.2519401428651453E-2</v>
      </c>
      <c r="Q73" s="73">
        <v>3.9150606857414538E-3</v>
      </c>
      <c r="R73" s="73">
        <v>2.7635722487586798E-5</v>
      </c>
      <c r="S73" s="87">
        <v>5.7178309826817035E-2</v>
      </c>
      <c r="T73" s="90">
        <v>0.35808526817970665</v>
      </c>
    </row>
    <row r="76" spans="1:20" ht="15" x14ac:dyDescent="0.25">
      <c r="A76" s="109" t="s">
        <v>119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</row>
    <row r="77" spans="1:20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</row>
    <row r="78" spans="1:20" ht="13.5" thickBot="1" x14ac:dyDescent="0.25">
      <c r="A78" s="31" t="s">
        <v>133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</row>
    <row r="79" spans="1:20" ht="39" thickBot="1" x14ac:dyDescent="0.25">
      <c r="A79" s="77" t="s">
        <v>65</v>
      </c>
      <c r="B79" s="76" t="s">
        <v>73</v>
      </c>
      <c r="C79" s="91" t="s">
        <v>74</v>
      </c>
      <c r="D79" s="92" t="s">
        <v>75</v>
      </c>
      <c r="E79" s="68" t="s">
        <v>50</v>
      </c>
      <c r="F79" s="68" t="s">
        <v>51</v>
      </c>
      <c r="G79" s="68" t="s">
        <v>52</v>
      </c>
      <c r="H79" s="68" t="s">
        <v>53</v>
      </c>
      <c r="I79" s="68" t="s">
        <v>63</v>
      </c>
      <c r="J79" s="68" t="s">
        <v>54</v>
      </c>
      <c r="K79" s="68" t="s">
        <v>55</v>
      </c>
      <c r="L79" s="68" t="s">
        <v>56</v>
      </c>
      <c r="M79" s="68" t="s">
        <v>57</v>
      </c>
      <c r="N79" s="68" t="s">
        <v>58</v>
      </c>
      <c r="O79" s="68" t="s">
        <v>59</v>
      </c>
      <c r="P79" s="68" t="s">
        <v>60</v>
      </c>
      <c r="Q79" s="68" t="s">
        <v>61</v>
      </c>
      <c r="R79" s="68" t="s">
        <v>81</v>
      </c>
      <c r="S79" s="83" t="s">
        <v>62</v>
      </c>
      <c r="T79" s="69" t="s">
        <v>0</v>
      </c>
    </row>
    <row r="80" spans="1:20" x14ac:dyDescent="0.2">
      <c r="A80" s="72" t="s">
        <v>67</v>
      </c>
      <c r="B80" s="78" t="s">
        <v>68</v>
      </c>
      <c r="C80" s="93">
        <v>1.8635078254297152E-3</v>
      </c>
      <c r="D80" s="94">
        <v>3.5185112787833794E-4</v>
      </c>
      <c r="E80" s="66">
        <v>1.0034272906159999E-3</v>
      </c>
      <c r="F80" s="66">
        <v>4.0397722089735002E-4</v>
      </c>
      <c r="G80" s="66" t="s">
        <v>132</v>
      </c>
      <c r="H80" s="66" t="s">
        <v>132</v>
      </c>
      <c r="I80" s="66">
        <v>1.4334675580228581E-4</v>
      </c>
      <c r="J80" s="66" t="s">
        <v>132</v>
      </c>
      <c r="K80" s="66" t="s">
        <v>132</v>
      </c>
      <c r="L80" s="66" t="s">
        <v>132</v>
      </c>
      <c r="M80" s="66">
        <v>1.694098023117922E-4</v>
      </c>
      <c r="N80" s="66" t="s">
        <v>132</v>
      </c>
      <c r="O80" s="66" t="s">
        <v>132</v>
      </c>
      <c r="P80" s="66" t="s">
        <v>132</v>
      </c>
      <c r="Q80" s="66" t="s">
        <v>132</v>
      </c>
      <c r="R80" s="66" t="s">
        <v>132</v>
      </c>
      <c r="S80" s="84">
        <v>6.5157616273766203E-5</v>
      </c>
      <c r="T80" s="88">
        <v>4.0006776392092465E-3</v>
      </c>
    </row>
    <row r="81" spans="1:20" x14ac:dyDescent="0.2">
      <c r="A81" s="71" t="s">
        <v>19</v>
      </c>
      <c r="B81" s="79" t="s">
        <v>68</v>
      </c>
      <c r="C81" s="103">
        <v>6.3854463948290901E-4</v>
      </c>
      <c r="D81" s="104" t="s">
        <v>132</v>
      </c>
      <c r="E81" s="67" t="s">
        <v>132</v>
      </c>
      <c r="F81" s="67" t="s">
        <v>132</v>
      </c>
      <c r="G81" s="67" t="s">
        <v>132</v>
      </c>
      <c r="H81" s="67" t="s">
        <v>132</v>
      </c>
      <c r="I81" s="67" t="s">
        <v>132</v>
      </c>
      <c r="J81" s="67" t="s">
        <v>132</v>
      </c>
      <c r="K81" s="67" t="s">
        <v>132</v>
      </c>
      <c r="L81" s="67" t="s">
        <v>132</v>
      </c>
      <c r="M81" s="67" t="s">
        <v>132</v>
      </c>
      <c r="N81" s="67" t="s">
        <v>132</v>
      </c>
      <c r="O81" s="67" t="s">
        <v>132</v>
      </c>
      <c r="P81" s="67" t="s">
        <v>132</v>
      </c>
      <c r="Q81" s="67" t="s">
        <v>132</v>
      </c>
      <c r="R81" s="67" t="s">
        <v>132</v>
      </c>
      <c r="S81" s="85" t="s">
        <v>132</v>
      </c>
      <c r="T81" s="89">
        <v>6.3854463948290901E-4</v>
      </c>
    </row>
    <row r="82" spans="1:20" x14ac:dyDescent="0.2">
      <c r="A82" s="72" t="s">
        <v>21</v>
      </c>
      <c r="B82" s="78" t="s">
        <v>68</v>
      </c>
      <c r="C82" s="105" t="s">
        <v>132</v>
      </c>
      <c r="D82" s="106" t="s">
        <v>132</v>
      </c>
      <c r="E82" s="66" t="s">
        <v>132</v>
      </c>
      <c r="F82" s="66">
        <v>2.08504372076052E-4</v>
      </c>
      <c r="G82" s="66" t="s">
        <v>132</v>
      </c>
      <c r="H82" s="66">
        <v>5.2126093019012999E-5</v>
      </c>
      <c r="I82" s="66">
        <v>3.38819604623585E-4</v>
      </c>
      <c r="J82" s="66" t="s">
        <v>132</v>
      </c>
      <c r="K82" s="66" t="s">
        <v>132</v>
      </c>
      <c r="L82" s="66" t="s">
        <v>132</v>
      </c>
      <c r="M82" s="66" t="s">
        <v>132</v>
      </c>
      <c r="N82" s="66" t="s">
        <v>132</v>
      </c>
      <c r="O82" s="66" t="s">
        <v>132</v>
      </c>
      <c r="P82" s="66" t="s">
        <v>132</v>
      </c>
      <c r="Q82" s="66" t="s">
        <v>132</v>
      </c>
      <c r="R82" s="66" t="s">
        <v>132</v>
      </c>
      <c r="S82" s="84">
        <v>2.3456741858555899E-4</v>
      </c>
      <c r="T82" s="88">
        <v>8.3401748830420896E-4</v>
      </c>
    </row>
    <row r="83" spans="1:20" x14ac:dyDescent="0.2">
      <c r="A83" s="71" t="s">
        <v>22</v>
      </c>
      <c r="B83" s="79" t="s">
        <v>68</v>
      </c>
      <c r="C83" s="103" t="s">
        <v>132</v>
      </c>
      <c r="D83" s="104" t="s">
        <v>132</v>
      </c>
      <c r="E83" s="67" t="s">
        <v>132</v>
      </c>
      <c r="F83" s="67" t="s">
        <v>132</v>
      </c>
      <c r="G83" s="67" t="s">
        <v>132</v>
      </c>
      <c r="H83" s="67" t="s">
        <v>132</v>
      </c>
      <c r="I83" s="67" t="s">
        <v>132</v>
      </c>
      <c r="J83" s="67" t="s">
        <v>132</v>
      </c>
      <c r="K83" s="67">
        <v>1.43346755802286E-4</v>
      </c>
      <c r="L83" s="67" t="s">
        <v>132</v>
      </c>
      <c r="M83" s="67" t="s">
        <v>132</v>
      </c>
      <c r="N83" s="67" t="s">
        <v>132</v>
      </c>
      <c r="O83" s="67" t="s">
        <v>132</v>
      </c>
      <c r="P83" s="67" t="s">
        <v>132</v>
      </c>
      <c r="Q83" s="67" t="s">
        <v>132</v>
      </c>
      <c r="R83" s="67" t="s">
        <v>132</v>
      </c>
      <c r="S83" s="85" t="s">
        <v>132</v>
      </c>
      <c r="T83" s="89">
        <v>1.43346755802286E-4</v>
      </c>
    </row>
    <row r="84" spans="1:20" x14ac:dyDescent="0.2">
      <c r="A84" s="72" t="s">
        <v>69</v>
      </c>
      <c r="B84" s="78" t="s">
        <v>68</v>
      </c>
      <c r="C84" s="105" t="s">
        <v>132</v>
      </c>
      <c r="D84" s="106" t="s">
        <v>132</v>
      </c>
      <c r="E84" s="66" t="s">
        <v>132</v>
      </c>
      <c r="F84" s="66">
        <v>3.90945697642597E-5</v>
      </c>
      <c r="G84" s="66">
        <v>2.60630465095065E-5</v>
      </c>
      <c r="H84" s="66" t="s">
        <v>132</v>
      </c>
      <c r="I84" s="66">
        <v>7.8189139528519496E-5</v>
      </c>
      <c r="J84" s="66" t="s">
        <v>132</v>
      </c>
      <c r="K84" s="66" t="s">
        <v>132</v>
      </c>
      <c r="L84" s="66" t="s">
        <v>132</v>
      </c>
      <c r="M84" s="66">
        <v>3.9094569764259802E-5</v>
      </c>
      <c r="N84" s="66" t="s">
        <v>132</v>
      </c>
      <c r="O84" s="66" t="s">
        <v>132</v>
      </c>
      <c r="P84" s="66" t="s">
        <v>132</v>
      </c>
      <c r="Q84" s="66" t="s">
        <v>132</v>
      </c>
      <c r="R84" s="66" t="s">
        <v>132</v>
      </c>
      <c r="S84" s="84">
        <v>1.0164588138707499E-3</v>
      </c>
      <c r="T84" s="88">
        <v>1.1989001394372954E-3</v>
      </c>
    </row>
    <row r="85" spans="1:20" x14ac:dyDescent="0.2">
      <c r="A85" s="71" t="s">
        <v>77</v>
      </c>
      <c r="B85" s="79" t="s">
        <v>70</v>
      </c>
      <c r="C85" s="103" t="s">
        <v>132</v>
      </c>
      <c r="D85" s="104" t="s">
        <v>132</v>
      </c>
      <c r="E85" s="67" t="s">
        <v>132</v>
      </c>
      <c r="F85" s="67" t="s">
        <v>132</v>
      </c>
      <c r="G85" s="67" t="s">
        <v>132</v>
      </c>
      <c r="H85" s="67" t="s">
        <v>132</v>
      </c>
      <c r="I85" s="67">
        <v>3.9094569764259802E-5</v>
      </c>
      <c r="J85" s="67" t="s">
        <v>132</v>
      </c>
      <c r="K85" s="67">
        <v>1.04252186038026E-4</v>
      </c>
      <c r="L85" s="67">
        <v>1.04252186038026E-4</v>
      </c>
      <c r="M85" s="67" t="s">
        <v>132</v>
      </c>
      <c r="N85" s="67" t="s">
        <v>132</v>
      </c>
      <c r="O85" s="67" t="s">
        <v>132</v>
      </c>
      <c r="P85" s="67" t="s">
        <v>132</v>
      </c>
      <c r="Q85" s="67" t="s">
        <v>132</v>
      </c>
      <c r="R85" s="67" t="s">
        <v>132</v>
      </c>
      <c r="S85" s="85">
        <v>2.3456741858555899E-4</v>
      </c>
      <c r="T85" s="89">
        <v>4.8216636042587081E-4</v>
      </c>
    </row>
    <row r="86" spans="1:20" x14ac:dyDescent="0.2">
      <c r="A86" s="72" t="s">
        <v>28</v>
      </c>
      <c r="B86" s="78" t="s">
        <v>70</v>
      </c>
      <c r="C86" s="105" t="s">
        <v>132</v>
      </c>
      <c r="D86" s="106" t="s">
        <v>132</v>
      </c>
      <c r="E86" s="66" t="s">
        <v>132</v>
      </c>
      <c r="F86" s="66" t="s">
        <v>132</v>
      </c>
      <c r="G86" s="66" t="s">
        <v>132</v>
      </c>
      <c r="H86" s="66" t="s">
        <v>132</v>
      </c>
      <c r="I86" s="66" t="s">
        <v>132</v>
      </c>
      <c r="J86" s="66" t="s">
        <v>132</v>
      </c>
      <c r="K86" s="66" t="s">
        <v>132</v>
      </c>
      <c r="L86" s="66" t="s">
        <v>132</v>
      </c>
      <c r="M86" s="66" t="s">
        <v>132</v>
      </c>
      <c r="N86" s="66" t="s">
        <v>132</v>
      </c>
      <c r="O86" s="66" t="s">
        <v>132</v>
      </c>
      <c r="P86" s="66" t="s">
        <v>132</v>
      </c>
      <c r="Q86" s="66" t="s">
        <v>132</v>
      </c>
      <c r="R86" s="66" t="s">
        <v>132</v>
      </c>
      <c r="S86" s="84">
        <v>6.7763920924716903E-4</v>
      </c>
      <c r="T86" s="88">
        <v>6.7763920924716903E-4</v>
      </c>
    </row>
    <row r="87" spans="1:20" x14ac:dyDescent="0.2">
      <c r="A87" s="71" t="s">
        <v>29</v>
      </c>
      <c r="B87" s="79" t="s">
        <v>70</v>
      </c>
      <c r="C87" s="103" t="s">
        <v>132</v>
      </c>
      <c r="D87" s="104" t="s">
        <v>132</v>
      </c>
      <c r="E87" s="67" t="s">
        <v>132</v>
      </c>
      <c r="F87" s="67" t="s">
        <v>132</v>
      </c>
      <c r="G87" s="67" t="s">
        <v>132</v>
      </c>
      <c r="H87" s="67" t="s">
        <v>132</v>
      </c>
      <c r="I87" s="67" t="s">
        <v>132</v>
      </c>
      <c r="J87" s="67" t="s">
        <v>132</v>
      </c>
      <c r="K87" s="67" t="s">
        <v>132</v>
      </c>
      <c r="L87" s="67" t="s">
        <v>132</v>
      </c>
      <c r="M87" s="67" t="s">
        <v>132</v>
      </c>
      <c r="N87" s="67" t="s">
        <v>132</v>
      </c>
      <c r="O87" s="67" t="s">
        <v>132</v>
      </c>
      <c r="P87" s="67" t="s">
        <v>132</v>
      </c>
      <c r="Q87" s="67" t="s">
        <v>132</v>
      </c>
      <c r="R87" s="67" t="s">
        <v>132</v>
      </c>
      <c r="S87" s="85" t="s">
        <v>132</v>
      </c>
      <c r="T87" s="89" t="s">
        <v>132</v>
      </c>
    </row>
    <row r="88" spans="1:20" x14ac:dyDescent="0.2">
      <c r="A88" s="72" t="s">
        <v>30</v>
      </c>
      <c r="B88" s="78" t="s">
        <v>70</v>
      </c>
      <c r="C88" s="105" t="s">
        <v>132</v>
      </c>
      <c r="D88" s="106" t="s">
        <v>132</v>
      </c>
      <c r="E88" s="66" t="s">
        <v>132</v>
      </c>
      <c r="F88" s="66" t="s">
        <v>132</v>
      </c>
      <c r="G88" s="66" t="s">
        <v>132</v>
      </c>
      <c r="H88" s="66" t="s">
        <v>132</v>
      </c>
      <c r="I88" s="66">
        <v>2.60630465095065E-5</v>
      </c>
      <c r="J88" s="66" t="s">
        <v>132</v>
      </c>
      <c r="K88" s="66" t="s">
        <v>132</v>
      </c>
      <c r="L88" s="66" t="s">
        <v>132</v>
      </c>
      <c r="M88" s="66" t="s">
        <v>132</v>
      </c>
      <c r="N88" s="66" t="s">
        <v>132</v>
      </c>
      <c r="O88" s="66" t="s">
        <v>132</v>
      </c>
      <c r="P88" s="66" t="s">
        <v>132</v>
      </c>
      <c r="Q88" s="66" t="s">
        <v>132</v>
      </c>
      <c r="R88" s="66" t="s">
        <v>132</v>
      </c>
      <c r="S88" s="84">
        <v>4.1700874415210399E-4</v>
      </c>
      <c r="T88" s="88">
        <v>4.4307179066161047E-4</v>
      </c>
    </row>
    <row r="89" spans="1:20" x14ac:dyDescent="0.2">
      <c r="A89" s="71" t="s">
        <v>31</v>
      </c>
      <c r="B89" s="79" t="s">
        <v>70</v>
      </c>
      <c r="C89" s="103" t="s">
        <v>132</v>
      </c>
      <c r="D89" s="104" t="s">
        <v>132</v>
      </c>
      <c r="E89" s="67" t="s">
        <v>132</v>
      </c>
      <c r="F89" s="67" t="s">
        <v>132</v>
      </c>
      <c r="G89" s="67" t="s">
        <v>132</v>
      </c>
      <c r="H89" s="67" t="s">
        <v>132</v>
      </c>
      <c r="I89" s="67">
        <v>1.3031523254753301E-5</v>
      </c>
      <c r="J89" s="67" t="s">
        <v>132</v>
      </c>
      <c r="K89" s="67" t="s">
        <v>132</v>
      </c>
      <c r="L89" s="67" t="s">
        <v>132</v>
      </c>
      <c r="M89" s="67" t="s">
        <v>132</v>
      </c>
      <c r="N89" s="67" t="s">
        <v>132</v>
      </c>
      <c r="O89" s="67" t="s">
        <v>132</v>
      </c>
      <c r="P89" s="67" t="s">
        <v>132</v>
      </c>
      <c r="Q89" s="67" t="s">
        <v>132</v>
      </c>
      <c r="R89" s="67" t="s">
        <v>132</v>
      </c>
      <c r="S89" s="85">
        <v>4.9519788368062299E-4</v>
      </c>
      <c r="T89" s="89">
        <v>5.0822940693537625E-4</v>
      </c>
    </row>
    <row r="90" spans="1:20" x14ac:dyDescent="0.2">
      <c r="A90" s="72" t="s">
        <v>20</v>
      </c>
      <c r="B90" s="78" t="s">
        <v>70</v>
      </c>
      <c r="C90" s="105" t="s">
        <v>132</v>
      </c>
      <c r="D90" s="106" t="s">
        <v>132</v>
      </c>
      <c r="E90" s="66" t="s">
        <v>132</v>
      </c>
      <c r="F90" s="66" t="s">
        <v>132</v>
      </c>
      <c r="G90" s="66" t="s">
        <v>132</v>
      </c>
      <c r="H90" s="66" t="s">
        <v>132</v>
      </c>
      <c r="I90" s="66" t="s">
        <v>132</v>
      </c>
      <c r="J90" s="66" t="s">
        <v>132</v>
      </c>
      <c r="K90" s="66" t="s">
        <v>132</v>
      </c>
      <c r="L90" s="66" t="s">
        <v>132</v>
      </c>
      <c r="M90" s="66" t="s">
        <v>132</v>
      </c>
      <c r="N90" s="66" t="s">
        <v>132</v>
      </c>
      <c r="O90" s="66" t="s">
        <v>132</v>
      </c>
      <c r="P90" s="66" t="s">
        <v>132</v>
      </c>
      <c r="Q90" s="66" t="s">
        <v>132</v>
      </c>
      <c r="R90" s="66" t="s">
        <v>132</v>
      </c>
      <c r="S90" s="84" t="s">
        <v>132</v>
      </c>
      <c r="T90" s="88" t="s">
        <v>132</v>
      </c>
    </row>
    <row r="91" spans="1:20" x14ac:dyDescent="0.2">
      <c r="A91" s="71" t="s">
        <v>32</v>
      </c>
      <c r="B91" s="79" t="s">
        <v>70</v>
      </c>
      <c r="C91" s="103" t="s">
        <v>132</v>
      </c>
      <c r="D91" s="104" t="s">
        <v>132</v>
      </c>
      <c r="E91" s="67" t="s">
        <v>132</v>
      </c>
      <c r="F91" s="67" t="s">
        <v>132</v>
      </c>
      <c r="G91" s="67" t="s">
        <v>132</v>
      </c>
      <c r="H91" s="67" t="s">
        <v>132</v>
      </c>
      <c r="I91" s="67" t="s">
        <v>132</v>
      </c>
      <c r="J91" s="67" t="s">
        <v>132</v>
      </c>
      <c r="K91" s="67">
        <v>2.60630465095065E-5</v>
      </c>
      <c r="L91" s="67" t="s">
        <v>132</v>
      </c>
      <c r="M91" s="67" t="s">
        <v>132</v>
      </c>
      <c r="N91" s="67" t="s">
        <v>132</v>
      </c>
      <c r="O91" s="67" t="s">
        <v>132</v>
      </c>
      <c r="P91" s="67" t="s">
        <v>132</v>
      </c>
      <c r="Q91" s="67" t="s">
        <v>132</v>
      </c>
      <c r="R91" s="67" t="s">
        <v>132</v>
      </c>
      <c r="S91" s="85">
        <v>1.23799470920156E-3</v>
      </c>
      <c r="T91" s="89">
        <v>1.2640577557110665E-3</v>
      </c>
    </row>
    <row r="92" spans="1:20" x14ac:dyDescent="0.2">
      <c r="A92" s="72" t="s">
        <v>23</v>
      </c>
      <c r="B92" s="78" t="s">
        <v>71</v>
      </c>
      <c r="C92" s="105" t="s">
        <v>132</v>
      </c>
      <c r="D92" s="106" t="s">
        <v>132</v>
      </c>
      <c r="E92" s="66" t="s">
        <v>132</v>
      </c>
      <c r="F92" s="66" t="s">
        <v>132</v>
      </c>
      <c r="G92" s="66" t="s">
        <v>132</v>
      </c>
      <c r="H92" s="66" t="s">
        <v>132</v>
      </c>
      <c r="I92" s="66" t="s">
        <v>132</v>
      </c>
      <c r="J92" s="66" t="s">
        <v>132</v>
      </c>
      <c r="K92" s="66" t="s">
        <v>132</v>
      </c>
      <c r="L92" s="66">
        <v>1.87653934868447E-3</v>
      </c>
      <c r="M92" s="66" t="s">
        <v>132</v>
      </c>
      <c r="N92" s="66" t="s">
        <v>132</v>
      </c>
      <c r="O92" s="66" t="s">
        <v>132</v>
      </c>
      <c r="P92" s="66" t="s">
        <v>132</v>
      </c>
      <c r="Q92" s="66" t="s">
        <v>132</v>
      </c>
      <c r="R92" s="66" t="s">
        <v>132</v>
      </c>
      <c r="S92" s="84" t="s">
        <v>132</v>
      </c>
      <c r="T92" s="88">
        <v>1.87653934868447E-3</v>
      </c>
    </row>
    <row r="93" spans="1:20" x14ac:dyDescent="0.2">
      <c r="A93" s="71" t="s">
        <v>24</v>
      </c>
      <c r="B93" s="79" t="s">
        <v>72</v>
      </c>
      <c r="C93" s="103" t="s">
        <v>132</v>
      </c>
      <c r="D93" s="104" t="s">
        <v>132</v>
      </c>
      <c r="E93" s="67" t="s">
        <v>132</v>
      </c>
      <c r="F93" s="67" t="s">
        <v>132</v>
      </c>
      <c r="G93" s="67" t="s">
        <v>132</v>
      </c>
      <c r="H93" s="67" t="s">
        <v>132</v>
      </c>
      <c r="I93" s="67" t="s">
        <v>132</v>
      </c>
      <c r="J93" s="67" t="s">
        <v>132</v>
      </c>
      <c r="K93" s="67" t="s">
        <v>132</v>
      </c>
      <c r="L93" s="67" t="s">
        <v>132</v>
      </c>
      <c r="M93" s="67" t="s">
        <v>132</v>
      </c>
      <c r="N93" s="67" t="s">
        <v>132</v>
      </c>
      <c r="O93" s="67" t="s">
        <v>132</v>
      </c>
      <c r="P93" s="67">
        <v>2.52811551142213E-3</v>
      </c>
      <c r="Q93" s="67" t="s">
        <v>132</v>
      </c>
      <c r="R93" s="67" t="s">
        <v>132</v>
      </c>
      <c r="S93" s="85" t="s">
        <v>132</v>
      </c>
      <c r="T93" s="89">
        <v>2.52811551142213E-3</v>
      </c>
    </row>
    <row r="94" spans="1:20" x14ac:dyDescent="0.2">
      <c r="A94" s="72" t="s">
        <v>25</v>
      </c>
      <c r="B94" s="78" t="s">
        <v>72</v>
      </c>
      <c r="C94" s="105" t="s">
        <v>132</v>
      </c>
      <c r="D94" s="106" t="s">
        <v>132</v>
      </c>
      <c r="E94" s="66" t="s">
        <v>132</v>
      </c>
      <c r="F94" s="66" t="s">
        <v>132</v>
      </c>
      <c r="G94" s="66" t="s">
        <v>132</v>
      </c>
      <c r="H94" s="66" t="s">
        <v>132</v>
      </c>
      <c r="I94" s="66" t="s">
        <v>132</v>
      </c>
      <c r="J94" s="66" t="s">
        <v>132</v>
      </c>
      <c r="K94" s="66" t="s">
        <v>132</v>
      </c>
      <c r="L94" s="66" t="s">
        <v>132</v>
      </c>
      <c r="M94" s="66" t="s">
        <v>132</v>
      </c>
      <c r="N94" s="66" t="s">
        <v>132</v>
      </c>
      <c r="O94" s="66" t="s">
        <v>132</v>
      </c>
      <c r="P94" s="66">
        <v>1.00968242177828E-2</v>
      </c>
      <c r="Q94" s="66" t="s">
        <v>132</v>
      </c>
      <c r="R94" s="66" t="s">
        <v>132</v>
      </c>
      <c r="S94" s="84" t="s">
        <v>132</v>
      </c>
      <c r="T94" s="88">
        <v>1.00968242177828E-2</v>
      </c>
    </row>
    <row r="95" spans="1:20" x14ac:dyDescent="0.2">
      <c r="A95" s="71" t="s">
        <v>78</v>
      </c>
      <c r="B95" s="79" t="s">
        <v>72</v>
      </c>
      <c r="C95" s="103" t="s">
        <v>132</v>
      </c>
      <c r="D95" s="104" t="s">
        <v>132</v>
      </c>
      <c r="E95" s="67" t="s">
        <v>132</v>
      </c>
      <c r="F95" s="67" t="s">
        <v>132</v>
      </c>
      <c r="G95" s="67" t="s">
        <v>132</v>
      </c>
      <c r="H95" s="67" t="s">
        <v>132</v>
      </c>
      <c r="I95" s="67" t="s">
        <v>132</v>
      </c>
      <c r="J95" s="67" t="s">
        <v>132</v>
      </c>
      <c r="K95" s="67" t="s">
        <v>132</v>
      </c>
      <c r="L95" s="67" t="s">
        <v>132</v>
      </c>
      <c r="M95" s="67" t="s">
        <v>132</v>
      </c>
      <c r="N95" s="67" t="s">
        <v>132</v>
      </c>
      <c r="O95" s="67" t="s">
        <v>132</v>
      </c>
      <c r="P95" s="67" t="s">
        <v>132</v>
      </c>
      <c r="Q95" s="67" t="s">
        <v>132</v>
      </c>
      <c r="R95" s="67" t="s">
        <v>132</v>
      </c>
      <c r="S95" s="85" t="s">
        <v>132</v>
      </c>
      <c r="T95" s="89" t="s">
        <v>132</v>
      </c>
    </row>
    <row r="96" spans="1:20" x14ac:dyDescent="0.2">
      <c r="A96" s="72" t="s">
        <v>26</v>
      </c>
      <c r="B96" s="78" t="s">
        <v>72</v>
      </c>
      <c r="C96" s="105" t="s">
        <v>132</v>
      </c>
      <c r="D96" s="106" t="s">
        <v>132</v>
      </c>
      <c r="E96" s="66" t="s">
        <v>132</v>
      </c>
      <c r="F96" s="66" t="s">
        <v>132</v>
      </c>
      <c r="G96" s="66" t="s">
        <v>132</v>
      </c>
      <c r="H96" s="66" t="s">
        <v>132</v>
      </c>
      <c r="I96" s="66" t="s">
        <v>132</v>
      </c>
      <c r="J96" s="66" t="s">
        <v>132</v>
      </c>
      <c r="K96" s="66" t="s">
        <v>132</v>
      </c>
      <c r="L96" s="66" t="s">
        <v>132</v>
      </c>
      <c r="M96" s="66" t="s">
        <v>132</v>
      </c>
      <c r="N96" s="66" t="s">
        <v>132</v>
      </c>
      <c r="O96" s="66" t="s">
        <v>132</v>
      </c>
      <c r="P96" s="66">
        <v>2.2023274300532998E-3</v>
      </c>
      <c r="Q96" s="66" t="s">
        <v>132</v>
      </c>
      <c r="R96" s="66" t="s">
        <v>132</v>
      </c>
      <c r="S96" s="84" t="s">
        <v>132</v>
      </c>
      <c r="T96" s="88">
        <v>2.2023274300532998E-3</v>
      </c>
    </row>
    <row r="97" spans="1:20" ht="13.5" thickBot="1" x14ac:dyDescent="0.25">
      <c r="A97" s="82" t="s">
        <v>27</v>
      </c>
      <c r="B97" s="81" t="s">
        <v>72</v>
      </c>
      <c r="C97" s="107" t="s">
        <v>132</v>
      </c>
      <c r="D97" s="108" t="s">
        <v>132</v>
      </c>
      <c r="E97" s="74" t="s">
        <v>132</v>
      </c>
      <c r="F97" s="74" t="s">
        <v>132</v>
      </c>
      <c r="G97" s="74" t="s">
        <v>132</v>
      </c>
      <c r="H97" s="74" t="s">
        <v>132</v>
      </c>
      <c r="I97" s="74" t="s">
        <v>132</v>
      </c>
      <c r="J97" s="74" t="s">
        <v>132</v>
      </c>
      <c r="K97" s="74" t="s">
        <v>132</v>
      </c>
      <c r="L97" s="74" t="s">
        <v>132</v>
      </c>
      <c r="M97" s="74" t="s">
        <v>132</v>
      </c>
      <c r="N97" s="74" t="s">
        <v>132</v>
      </c>
      <c r="O97" s="74" t="s">
        <v>132</v>
      </c>
      <c r="P97" s="74" t="s">
        <v>132</v>
      </c>
      <c r="Q97" s="74">
        <v>1.5246882208061301E-3</v>
      </c>
      <c r="R97" s="74" t="s">
        <v>132</v>
      </c>
      <c r="S97" s="86" t="s">
        <v>132</v>
      </c>
      <c r="T97" s="75">
        <v>1.5246882208061301E-3</v>
      </c>
    </row>
    <row r="98" spans="1:20" ht="14.25" thickTop="1" thickBot="1" x14ac:dyDescent="0.25">
      <c r="A98" s="70" t="s">
        <v>0</v>
      </c>
      <c r="B98" s="80"/>
      <c r="C98" s="101">
        <v>2.8539035927909618E-3</v>
      </c>
      <c r="D98" s="102" t="s">
        <v>132</v>
      </c>
      <c r="E98" s="73">
        <v>1.0034272906159999E-3</v>
      </c>
      <c r="F98" s="73">
        <v>6.5157616273766174E-4</v>
      </c>
      <c r="G98" s="73">
        <v>2.60630465095065E-5</v>
      </c>
      <c r="H98" s="73">
        <v>5.2126093019012999E-5</v>
      </c>
      <c r="I98" s="73">
        <v>6.3854463948290988E-4</v>
      </c>
      <c r="J98" s="73" t="s">
        <v>132</v>
      </c>
      <c r="K98" s="73">
        <v>2.7366198834981846E-4</v>
      </c>
      <c r="L98" s="73">
        <v>1.9807915347224959E-3</v>
      </c>
      <c r="M98" s="73">
        <v>2.08504372076052E-4</v>
      </c>
      <c r="N98" s="73" t="s">
        <v>132</v>
      </c>
      <c r="O98" s="73" t="s">
        <v>132</v>
      </c>
      <c r="P98" s="73">
        <v>1.482726715925823E-2</v>
      </c>
      <c r="Q98" s="73">
        <v>1.5246882208061301E-3</v>
      </c>
      <c r="R98" s="73" t="s">
        <v>132</v>
      </c>
      <c r="S98" s="87">
        <v>4.3785918135970901E-3</v>
      </c>
      <c r="T98" s="90">
        <v>2.8419145913965868E-2</v>
      </c>
    </row>
  </sheetData>
  <mergeCells count="76">
    <mergeCell ref="A1:T1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6:T26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A51:T51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A76:T76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8:D98"/>
    <mergeCell ref="C93:D93"/>
    <mergeCell ref="C94:D94"/>
    <mergeCell ref="C95:D95"/>
    <mergeCell ref="C96:D96"/>
    <mergeCell ref="C97:D97"/>
  </mergeCells>
  <conditionalFormatting sqref="C5:T23">
    <cfRule type="cellIs" dxfId="5" priority="1" operator="greaterThan">
      <formula>0</formula>
    </cfRule>
  </conditionalFormatting>
  <conditionalFormatting sqref="T23">
    <cfRule type="cellIs" dxfId="4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71" orientation="landscape" r:id="rId1"/>
  <headerFooter>
    <oddFooter>&amp;L&amp;F&amp;C&amp;A&amp;R&amp;D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showGridLines="0" topLeftCell="A84" zoomScaleNormal="100" workbookViewId="0">
      <selection activeCell="A86" sqref="A86"/>
    </sheetView>
  </sheetViews>
  <sheetFormatPr defaultRowHeight="12.75" x14ac:dyDescent="0.2"/>
  <cols>
    <col min="1" max="1" width="31.7109375" style="31" bestFit="1" customWidth="1"/>
    <col min="2" max="10" width="10" style="21" customWidth="1"/>
    <col min="11" max="11" width="12.85546875" style="21" customWidth="1"/>
    <col min="12" max="15" width="10" style="21" customWidth="1"/>
    <col min="16" max="16" width="14" style="21" customWidth="1"/>
    <col min="17" max="17" width="10" style="21" customWidth="1"/>
    <col min="18" max="16384" width="9.140625" style="16"/>
  </cols>
  <sheetData>
    <row r="1" spans="1:17" ht="15" x14ac:dyDescent="0.25">
      <c r="A1" s="109" t="s">
        <v>125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7.5" customHeight="1" x14ac:dyDescent="0.2"/>
    <row r="3" spans="1:17" ht="12.75" customHeight="1" thickBot="1" x14ac:dyDescent="0.25">
      <c r="A3" s="31" t="s">
        <v>133</v>
      </c>
    </row>
    <row r="4" spans="1:17" s="5" customFormat="1" ht="38.25" customHeight="1" thickBot="1" x14ac:dyDescent="0.25">
      <c r="A4" s="25" t="s">
        <v>66</v>
      </c>
      <c r="B4" s="26" t="s">
        <v>38</v>
      </c>
      <c r="C4" s="32" t="s">
        <v>39</v>
      </c>
      <c r="D4" s="32" t="s">
        <v>40</v>
      </c>
      <c r="E4" s="32" t="s">
        <v>41</v>
      </c>
      <c r="F4" s="32" t="s">
        <v>42</v>
      </c>
      <c r="G4" s="32" t="s">
        <v>43</v>
      </c>
      <c r="H4" s="32" t="s">
        <v>44</v>
      </c>
      <c r="I4" s="32" t="s">
        <v>45</v>
      </c>
      <c r="J4" s="32" t="s">
        <v>64</v>
      </c>
      <c r="K4" s="32" t="s">
        <v>46</v>
      </c>
      <c r="L4" s="32" t="s">
        <v>7</v>
      </c>
      <c r="M4" s="32" t="s">
        <v>76</v>
      </c>
      <c r="N4" s="32" t="s">
        <v>47</v>
      </c>
      <c r="O4" s="32" t="s">
        <v>48</v>
      </c>
      <c r="P4" s="27" t="s">
        <v>49</v>
      </c>
      <c r="Q4" s="24" t="s">
        <v>0</v>
      </c>
    </row>
    <row r="5" spans="1:17" ht="12.75" customHeight="1" x14ac:dyDescent="0.2">
      <c r="A5" s="23" t="s">
        <v>8</v>
      </c>
      <c r="B5" s="53" t="s">
        <v>132</v>
      </c>
      <c r="C5" s="67" t="s">
        <v>132</v>
      </c>
      <c r="D5" s="67" t="s">
        <v>132</v>
      </c>
      <c r="E5" s="67">
        <v>7.6513845403102399E-4</v>
      </c>
      <c r="F5" s="67">
        <v>6.6726462110082801E-6</v>
      </c>
      <c r="G5" s="67">
        <v>4.3397445724567299E-5</v>
      </c>
      <c r="H5" s="67" t="s">
        <v>132</v>
      </c>
      <c r="I5" s="67" t="s">
        <v>132</v>
      </c>
      <c r="J5" s="67">
        <v>1.1336804133621999E-3</v>
      </c>
      <c r="K5" s="67">
        <v>4.0646411150602901E-4</v>
      </c>
      <c r="L5" s="67">
        <v>1.4621198051499601E-4</v>
      </c>
      <c r="M5" s="67">
        <v>1.30711746310454E-5</v>
      </c>
      <c r="N5" s="67" t="s">
        <v>132</v>
      </c>
      <c r="O5" s="67" t="s">
        <v>132</v>
      </c>
      <c r="P5" s="56">
        <v>6.0205288017155499E-5</v>
      </c>
      <c r="Q5" s="58">
        <v>2.5748415139980252E-3</v>
      </c>
    </row>
    <row r="6" spans="1:17" ht="12.75" customHeight="1" x14ac:dyDescent="0.2">
      <c r="A6" s="22" t="s">
        <v>9</v>
      </c>
      <c r="B6" s="54">
        <v>2.59527625782077E-3</v>
      </c>
      <c r="C6" s="66" t="s">
        <v>132</v>
      </c>
      <c r="D6" s="66">
        <v>2.9499397862888799E-3</v>
      </c>
      <c r="E6" s="66">
        <v>1.35968841416493E-3</v>
      </c>
      <c r="F6" s="66">
        <v>1.0639613530448999E-3</v>
      </c>
      <c r="G6" s="66">
        <v>2.7664428105804998E-4</v>
      </c>
      <c r="H6" s="66">
        <v>2.3155880006598302E-6</v>
      </c>
      <c r="I6" s="66">
        <v>5.4751758642922203E-5</v>
      </c>
      <c r="J6" s="66">
        <v>1.6928321539394801E-4</v>
      </c>
      <c r="K6" s="66">
        <v>1.4273229854000701E-3</v>
      </c>
      <c r="L6" s="66">
        <v>2.6328562323794601E-3</v>
      </c>
      <c r="M6" s="66">
        <v>1.4606103930723899E-3</v>
      </c>
      <c r="N6" s="66" t="s">
        <v>132</v>
      </c>
      <c r="O6" s="66">
        <v>1.30711746310454E-5</v>
      </c>
      <c r="P6" s="55">
        <v>1.97438208420536E-5</v>
      </c>
      <c r="Q6" s="59">
        <v>1.402546526074008E-2</v>
      </c>
    </row>
    <row r="7" spans="1:17" ht="12.75" customHeight="1" x14ac:dyDescent="0.2">
      <c r="A7" s="23" t="s">
        <v>10</v>
      </c>
      <c r="B7" s="53">
        <v>4.09087213449903E-5</v>
      </c>
      <c r="C7" s="67">
        <v>1.54372533377322E-6</v>
      </c>
      <c r="D7" s="67" t="s">
        <v>132</v>
      </c>
      <c r="E7" s="67">
        <v>3.4553485905071098E-4</v>
      </c>
      <c r="F7" s="67">
        <v>4.3570582103484499E-6</v>
      </c>
      <c r="G7" s="67">
        <v>1.54372533377322E-6</v>
      </c>
      <c r="H7" s="67" t="s">
        <v>132</v>
      </c>
      <c r="I7" s="67">
        <v>7.7186266688660792E-6</v>
      </c>
      <c r="J7" s="67">
        <v>2.5471468007258101E-5</v>
      </c>
      <c r="K7" s="67">
        <v>3.1375374091575598E-5</v>
      </c>
      <c r="L7" s="67">
        <v>1.06315085206244E-4</v>
      </c>
      <c r="M7" s="67">
        <v>6.4965608969616204E-4</v>
      </c>
      <c r="N7" s="67" t="s">
        <v>132</v>
      </c>
      <c r="O7" s="67" t="s">
        <v>132</v>
      </c>
      <c r="P7" s="56">
        <v>1.30711746310454E-5</v>
      </c>
      <c r="Q7" s="58">
        <v>1.2274959075747474E-3</v>
      </c>
    </row>
    <row r="8" spans="1:17" ht="12.75" customHeight="1" x14ac:dyDescent="0.2">
      <c r="A8" s="22" t="s">
        <v>11</v>
      </c>
      <c r="B8" s="54" t="s">
        <v>132</v>
      </c>
      <c r="C8" s="66" t="s">
        <v>132</v>
      </c>
      <c r="D8" s="66">
        <v>4.3053780480063102E-4</v>
      </c>
      <c r="E8" s="66">
        <v>2.37956411382057E-4</v>
      </c>
      <c r="F8" s="66" t="s">
        <v>132</v>
      </c>
      <c r="G8" s="66">
        <v>1.7428232841393799E-5</v>
      </c>
      <c r="H8" s="66" t="s">
        <v>132</v>
      </c>
      <c r="I8" s="66">
        <v>1.54372533377322E-6</v>
      </c>
      <c r="J8" s="66">
        <v>2.2425314966807199E-3</v>
      </c>
      <c r="K8" s="66">
        <v>4.8204880644999999E-5</v>
      </c>
      <c r="L8" s="66">
        <v>3.54277801916599E-4</v>
      </c>
      <c r="M8" s="66">
        <v>8.7432577865054705E-4</v>
      </c>
      <c r="N8" s="66" t="s">
        <v>132</v>
      </c>
      <c r="O8" s="66" t="s">
        <v>132</v>
      </c>
      <c r="P8" s="55">
        <v>2.8508427968777501E-5</v>
      </c>
      <c r="Q8" s="59">
        <v>4.2353145602194988E-3</v>
      </c>
    </row>
    <row r="9" spans="1:17" ht="12.75" customHeight="1" x14ac:dyDescent="0.2">
      <c r="A9" s="23" t="s">
        <v>12</v>
      </c>
      <c r="B9" s="53" t="s">
        <v>132</v>
      </c>
      <c r="C9" s="67" t="s">
        <v>132</v>
      </c>
      <c r="D9" s="67" t="s">
        <v>132</v>
      </c>
      <c r="E9" s="67">
        <v>1.4391272879874401E-5</v>
      </c>
      <c r="F9" s="67" t="s">
        <v>132</v>
      </c>
      <c r="G9" s="67">
        <v>7.7186266688660904E-7</v>
      </c>
      <c r="H9" s="67" t="s">
        <v>132</v>
      </c>
      <c r="I9" s="67">
        <v>3.8593133344330396E-6</v>
      </c>
      <c r="J9" s="67">
        <v>3.9646881448570899E-4</v>
      </c>
      <c r="K9" s="67">
        <v>1.0531959545441299E-5</v>
      </c>
      <c r="L9" s="67">
        <v>5.9908091299254397E-4</v>
      </c>
      <c r="M9" s="67">
        <v>3.8074556188364599E-3</v>
      </c>
      <c r="N9" s="67" t="s">
        <v>132</v>
      </c>
      <c r="O9" s="67">
        <v>2.2059408842713499E-5</v>
      </c>
      <c r="P9" s="56">
        <v>8.9882342116681001E-6</v>
      </c>
      <c r="Q9" s="58">
        <v>4.8636073977957293E-3</v>
      </c>
    </row>
    <row r="10" spans="1:17" ht="12.75" customHeight="1" x14ac:dyDescent="0.2">
      <c r="A10" s="22" t="s">
        <v>13</v>
      </c>
      <c r="B10" s="54" t="s">
        <v>132</v>
      </c>
      <c r="C10" s="66" t="s">
        <v>132</v>
      </c>
      <c r="D10" s="66" t="s">
        <v>132</v>
      </c>
      <c r="E10" s="66" t="s">
        <v>132</v>
      </c>
      <c r="F10" s="66" t="s">
        <v>132</v>
      </c>
      <c r="G10" s="66" t="s">
        <v>132</v>
      </c>
      <c r="H10" s="66" t="s">
        <v>132</v>
      </c>
      <c r="I10" s="66" t="s">
        <v>132</v>
      </c>
      <c r="J10" s="66" t="s">
        <v>132</v>
      </c>
      <c r="K10" s="66" t="s">
        <v>132</v>
      </c>
      <c r="L10" s="66">
        <v>5.2883424812150797E-5</v>
      </c>
      <c r="M10" s="66">
        <v>1.62091160046188E-5</v>
      </c>
      <c r="N10" s="66" t="s">
        <v>132</v>
      </c>
      <c r="O10" s="66" t="s">
        <v>132</v>
      </c>
      <c r="P10" s="55">
        <v>2.1287546175826901E-5</v>
      </c>
      <c r="Q10" s="59">
        <v>9.0380086992596502E-5</v>
      </c>
    </row>
    <row r="11" spans="1:17" ht="12.75" customHeight="1" x14ac:dyDescent="0.2">
      <c r="A11" s="23" t="s">
        <v>14</v>
      </c>
      <c r="B11" s="53" t="s">
        <v>132</v>
      </c>
      <c r="C11" s="67" t="s">
        <v>132</v>
      </c>
      <c r="D11" s="67" t="s">
        <v>132</v>
      </c>
      <c r="E11" s="67">
        <v>5.1289208772350596E-6</v>
      </c>
      <c r="F11" s="67" t="s">
        <v>132</v>
      </c>
      <c r="G11" s="67" t="s">
        <v>132</v>
      </c>
      <c r="H11" s="67" t="s">
        <v>132</v>
      </c>
      <c r="I11" s="67" t="s">
        <v>132</v>
      </c>
      <c r="J11" s="67" t="s">
        <v>132</v>
      </c>
      <c r="K11" s="67" t="s">
        <v>132</v>
      </c>
      <c r="L11" s="67">
        <v>6.9467640019794804E-6</v>
      </c>
      <c r="M11" s="67">
        <v>2.3155880006598302E-6</v>
      </c>
      <c r="N11" s="67" t="s">
        <v>132</v>
      </c>
      <c r="O11" s="67" t="s">
        <v>132</v>
      </c>
      <c r="P11" s="56" t="s">
        <v>132</v>
      </c>
      <c r="Q11" s="58">
        <v>1.4391272879874372E-5</v>
      </c>
    </row>
    <row r="12" spans="1:17" ht="12.75" customHeight="1" x14ac:dyDescent="0.2">
      <c r="A12" s="22" t="s">
        <v>15</v>
      </c>
      <c r="B12" s="54" t="s">
        <v>132</v>
      </c>
      <c r="C12" s="66" t="s">
        <v>132</v>
      </c>
      <c r="D12" s="66" t="s">
        <v>132</v>
      </c>
      <c r="E12" s="66">
        <v>2.6142349262090699E-5</v>
      </c>
      <c r="F12" s="66" t="s">
        <v>132</v>
      </c>
      <c r="G12" s="66" t="s">
        <v>132</v>
      </c>
      <c r="H12" s="66" t="s">
        <v>132</v>
      </c>
      <c r="I12" s="66" t="s">
        <v>132</v>
      </c>
      <c r="J12" s="66">
        <v>8.2163715447814903E-6</v>
      </c>
      <c r="K12" s="66" t="s">
        <v>132</v>
      </c>
      <c r="L12" s="66">
        <v>2.8659000447630499E-4</v>
      </c>
      <c r="M12" s="66">
        <v>8.0843617198985901E-5</v>
      </c>
      <c r="N12" s="66" t="s">
        <v>132</v>
      </c>
      <c r="O12" s="66" t="s">
        <v>132</v>
      </c>
      <c r="P12" s="55">
        <v>4.6311760013196502E-6</v>
      </c>
      <c r="Q12" s="59">
        <v>4.0642351848348276E-4</v>
      </c>
    </row>
    <row r="13" spans="1:17" ht="12.75" customHeight="1" x14ac:dyDescent="0.2">
      <c r="A13" s="23" t="s">
        <v>16</v>
      </c>
      <c r="B13" s="53" t="s">
        <v>132</v>
      </c>
      <c r="C13" s="67" t="s">
        <v>132</v>
      </c>
      <c r="D13" s="67" t="s">
        <v>132</v>
      </c>
      <c r="E13" s="67" t="s">
        <v>132</v>
      </c>
      <c r="F13" s="67" t="s">
        <v>132</v>
      </c>
      <c r="G13" s="67" t="s">
        <v>132</v>
      </c>
      <c r="H13" s="67" t="s">
        <v>132</v>
      </c>
      <c r="I13" s="67" t="s">
        <v>132</v>
      </c>
      <c r="J13" s="67" t="s">
        <v>132</v>
      </c>
      <c r="K13" s="67" t="s">
        <v>132</v>
      </c>
      <c r="L13" s="67">
        <v>7.7186266688660904E-7</v>
      </c>
      <c r="M13" s="67" t="s">
        <v>132</v>
      </c>
      <c r="N13" s="67" t="s">
        <v>132</v>
      </c>
      <c r="O13" s="67" t="s">
        <v>132</v>
      </c>
      <c r="P13" s="56" t="s">
        <v>132</v>
      </c>
      <c r="Q13" s="58">
        <v>7.7186266688660904E-7</v>
      </c>
    </row>
    <row r="14" spans="1:17" ht="12.75" customHeight="1" x14ac:dyDescent="0.2">
      <c r="A14" s="22" t="s">
        <v>17</v>
      </c>
      <c r="B14" s="54" t="s">
        <v>132</v>
      </c>
      <c r="C14" s="66" t="s">
        <v>132</v>
      </c>
      <c r="D14" s="66" t="s">
        <v>132</v>
      </c>
      <c r="E14" s="66">
        <v>9.9469302616318498E-5</v>
      </c>
      <c r="F14" s="66" t="s">
        <v>132</v>
      </c>
      <c r="G14" s="66" t="s">
        <v>132</v>
      </c>
      <c r="H14" s="66" t="s">
        <v>132</v>
      </c>
      <c r="I14" s="66" t="s">
        <v>132</v>
      </c>
      <c r="J14" s="66">
        <v>2.3155880006598302E-6</v>
      </c>
      <c r="K14" s="66">
        <v>7.7186266688660904E-7</v>
      </c>
      <c r="L14" s="66">
        <v>9.90942034132933E-5</v>
      </c>
      <c r="M14" s="66">
        <v>1.41171550889032E-5</v>
      </c>
      <c r="N14" s="66" t="s">
        <v>132</v>
      </c>
      <c r="O14" s="66" t="s">
        <v>132</v>
      </c>
      <c r="P14" s="55" t="s">
        <v>132</v>
      </c>
      <c r="Q14" s="59">
        <v>2.1576811178606144E-4</v>
      </c>
    </row>
    <row r="15" spans="1:17" ht="12.75" customHeight="1" x14ac:dyDescent="0.2">
      <c r="A15" s="23" t="s">
        <v>79</v>
      </c>
      <c r="B15" s="53" t="s">
        <v>132</v>
      </c>
      <c r="C15" s="67" t="s">
        <v>132</v>
      </c>
      <c r="D15" s="67" t="s">
        <v>132</v>
      </c>
      <c r="E15" s="67">
        <v>1.8332821551598799E-4</v>
      </c>
      <c r="F15" s="67" t="s">
        <v>132</v>
      </c>
      <c r="G15" s="67" t="s">
        <v>132</v>
      </c>
      <c r="H15" s="67" t="s">
        <v>132</v>
      </c>
      <c r="I15" s="67" t="s">
        <v>132</v>
      </c>
      <c r="J15" s="67" t="s">
        <v>132</v>
      </c>
      <c r="K15" s="67">
        <v>4.6311760013196502E-6</v>
      </c>
      <c r="L15" s="67" t="s">
        <v>132</v>
      </c>
      <c r="M15" s="67" t="s">
        <v>132</v>
      </c>
      <c r="N15" s="67" t="s">
        <v>132</v>
      </c>
      <c r="O15" s="67" t="s">
        <v>132</v>
      </c>
      <c r="P15" s="56">
        <v>5.6641756734529899E-5</v>
      </c>
      <c r="Q15" s="58">
        <v>2.4460114825183756E-4</v>
      </c>
    </row>
    <row r="16" spans="1:17" ht="12.75" customHeight="1" x14ac:dyDescent="0.2">
      <c r="A16" s="22" t="s">
        <v>80</v>
      </c>
      <c r="B16" s="54" t="s">
        <v>132</v>
      </c>
      <c r="C16" s="66" t="s">
        <v>132</v>
      </c>
      <c r="D16" s="66" t="s">
        <v>132</v>
      </c>
      <c r="E16" s="66" t="s">
        <v>132</v>
      </c>
      <c r="F16" s="66" t="s">
        <v>132</v>
      </c>
      <c r="G16" s="66">
        <v>4.3570582103484499E-6</v>
      </c>
      <c r="H16" s="66" t="s">
        <v>132</v>
      </c>
      <c r="I16" s="66" t="s">
        <v>132</v>
      </c>
      <c r="J16" s="66" t="s">
        <v>132</v>
      </c>
      <c r="K16" s="66" t="s">
        <v>132</v>
      </c>
      <c r="L16" s="66">
        <v>4.8201758104804201E-5</v>
      </c>
      <c r="M16" s="66">
        <v>1.8474213299251601E-4</v>
      </c>
      <c r="N16" s="66" t="s">
        <v>132</v>
      </c>
      <c r="O16" s="66" t="s">
        <v>132</v>
      </c>
      <c r="P16" s="55">
        <v>1.60912471315789E-4</v>
      </c>
      <c r="Q16" s="59">
        <v>3.9821342062345763E-4</v>
      </c>
    </row>
    <row r="17" spans="1:17" ht="12.75" customHeight="1" x14ac:dyDescent="0.2">
      <c r="A17" s="23" t="s">
        <v>18</v>
      </c>
      <c r="B17" s="53" t="s">
        <v>132</v>
      </c>
      <c r="C17" s="67" t="s">
        <v>132</v>
      </c>
      <c r="D17" s="67" t="s">
        <v>132</v>
      </c>
      <c r="E17" s="67" t="s">
        <v>132</v>
      </c>
      <c r="F17" s="67" t="s">
        <v>132</v>
      </c>
      <c r="G17" s="67" t="s">
        <v>132</v>
      </c>
      <c r="H17" s="67" t="s">
        <v>132</v>
      </c>
      <c r="I17" s="67" t="s">
        <v>132</v>
      </c>
      <c r="J17" s="67" t="s">
        <v>132</v>
      </c>
      <c r="K17" s="67" t="s">
        <v>132</v>
      </c>
      <c r="L17" s="67" t="s">
        <v>132</v>
      </c>
      <c r="M17" s="67">
        <v>4.3570582103484499E-6</v>
      </c>
      <c r="N17" s="67" t="s">
        <v>132</v>
      </c>
      <c r="O17" s="67" t="s">
        <v>132</v>
      </c>
      <c r="P17" s="56" t="s">
        <v>132</v>
      </c>
      <c r="Q17" s="58">
        <v>4.3570582103484499E-6</v>
      </c>
    </row>
    <row r="18" spans="1:17" ht="12.75" customHeight="1" x14ac:dyDescent="0.2">
      <c r="A18" s="22" t="s">
        <v>78</v>
      </c>
      <c r="B18" s="54" t="s">
        <v>132</v>
      </c>
      <c r="C18" s="66" t="s">
        <v>132</v>
      </c>
      <c r="D18" s="66" t="s">
        <v>132</v>
      </c>
      <c r="E18" s="66">
        <v>1.8685888070926399E-4</v>
      </c>
      <c r="F18" s="66" t="s">
        <v>132</v>
      </c>
      <c r="G18" s="66" t="s">
        <v>132</v>
      </c>
      <c r="H18" s="66" t="s">
        <v>132</v>
      </c>
      <c r="I18" s="66" t="s">
        <v>132</v>
      </c>
      <c r="J18" s="66" t="s">
        <v>132</v>
      </c>
      <c r="K18" s="66">
        <v>8.7141164206968997E-6</v>
      </c>
      <c r="L18" s="66">
        <v>9.4859790875835095E-6</v>
      </c>
      <c r="M18" s="66">
        <v>4.3570582103484499E-6</v>
      </c>
      <c r="N18" s="66" t="s">
        <v>132</v>
      </c>
      <c r="O18" s="66" t="s">
        <v>132</v>
      </c>
      <c r="P18" s="55">
        <v>4.3570582103484499E-6</v>
      </c>
      <c r="Q18" s="59">
        <v>2.1377309263824132E-4</v>
      </c>
    </row>
    <row r="19" spans="1:17" ht="12.75" customHeight="1" x14ac:dyDescent="0.2">
      <c r="A19" s="23" t="s">
        <v>33</v>
      </c>
      <c r="B19" s="53">
        <v>6.4765080163655298E-4</v>
      </c>
      <c r="C19" s="67">
        <v>2.61849029217627E-3</v>
      </c>
      <c r="D19" s="67" t="s">
        <v>132</v>
      </c>
      <c r="E19" s="67">
        <v>3.3268784588352902E-3</v>
      </c>
      <c r="F19" s="67" t="s">
        <v>132</v>
      </c>
      <c r="G19" s="67">
        <v>2.1534968406136399E-4</v>
      </c>
      <c r="H19" s="67">
        <v>2.3819033749373402E-3</v>
      </c>
      <c r="I19" s="67">
        <v>2.2429825969742302E-3</v>
      </c>
      <c r="J19" s="67">
        <v>1.04973322696579E-4</v>
      </c>
      <c r="K19" s="67">
        <v>2.9330781341691101E-5</v>
      </c>
      <c r="L19" s="67">
        <v>6.8258955219432701E-3</v>
      </c>
      <c r="M19" s="67">
        <v>3.0169015915625498E-4</v>
      </c>
      <c r="N19" s="67" t="s">
        <v>132</v>
      </c>
      <c r="O19" s="67" t="s">
        <v>132</v>
      </c>
      <c r="P19" s="56">
        <v>1.08926455258711E-4</v>
      </c>
      <c r="Q19" s="58">
        <v>1.8804071449017551E-2</v>
      </c>
    </row>
    <row r="20" spans="1:17" ht="12.75" customHeight="1" x14ac:dyDescent="0.2">
      <c r="A20" s="22" t="s">
        <v>34</v>
      </c>
      <c r="B20" s="54">
        <v>2.91388988880113E-4</v>
      </c>
      <c r="C20" s="66">
        <v>2.06092398900104E-3</v>
      </c>
      <c r="D20" s="66">
        <v>2.2384017339711601E-5</v>
      </c>
      <c r="E20" s="66" t="s">
        <v>132</v>
      </c>
      <c r="F20" s="66" t="s">
        <v>132</v>
      </c>
      <c r="G20" s="66" t="s">
        <v>132</v>
      </c>
      <c r="H20" s="66">
        <v>3.6358526997157799E-3</v>
      </c>
      <c r="I20" s="66" t="s">
        <v>132</v>
      </c>
      <c r="J20" s="66" t="s">
        <v>132</v>
      </c>
      <c r="K20" s="66" t="s">
        <v>132</v>
      </c>
      <c r="L20" s="66">
        <v>1.32457434468335E-4</v>
      </c>
      <c r="M20" s="66" t="s">
        <v>132</v>
      </c>
      <c r="N20" s="66" t="s">
        <v>132</v>
      </c>
      <c r="O20" s="66" t="s">
        <v>132</v>
      </c>
      <c r="P20" s="55">
        <v>1.30711746310454E-5</v>
      </c>
      <c r="Q20" s="59">
        <v>6.1560783040360252E-3</v>
      </c>
    </row>
    <row r="21" spans="1:17" ht="12.75" customHeight="1" x14ac:dyDescent="0.2">
      <c r="A21" s="23" t="s">
        <v>35</v>
      </c>
      <c r="B21" s="53">
        <v>2.1180491662427801E-4</v>
      </c>
      <c r="C21" s="67">
        <v>2.7040580033130799E-3</v>
      </c>
      <c r="D21" s="67" t="s">
        <v>132</v>
      </c>
      <c r="E21" s="67">
        <v>7.1783228020454596E-5</v>
      </c>
      <c r="F21" s="67" t="s">
        <v>132</v>
      </c>
      <c r="G21" s="67" t="s">
        <v>132</v>
      </c>
      <c r="H21" s="67">
        <v>1.94500976224749E-4</v>
      </c>
      <c r="I21" s="67">
        <v>1.14235674699218E-4</v>
      </c>
      <c r="J21" s="67" t="s">
        <v>132</v>
      </c>
      <c r="K21" s="67" t="s">
        <v>132</v>
      </c>
      <c r="L21" s="67">
        <v>1.7959154785444499E-4</v>
      </c>
      <c r="M21" s="67">
        <v>1.8524704005278601E-5</v>
      </c>
      <c r="N21" s="67" t="s">
        <v>132</v>
      </c>
      <c r="O21" s="67" t="s">
        <v>132</v>
      </c>
      <c r="P21" s="56" t="s">
        <v>132</v>
      </c>
      <c r="Q21" s="58">
        <v>3.4944990507415033E-3</v>
      </c>
    </row>
    <row r="22" spans="1:17" ht="12.75" customHeight="1" x14ac:dyDescent="0.2">
      <c r="A22" s="22" t="s">
        <v>36</v>
      </c>
      <c r="B22" s="54">
        <v>1.4665390670845599E-5</v>
      </c>
      <c r="C22" s="66">
        <v>5.0942936014516202E-5</v>
      </c>
      <c r="D22" s="66" t="s">
        <v>132</v>
      </c>
      <c r="E22" s="66" t="s">
        <v>132</v>
      </c>
      <c r="F22" s="66" t="s">
        <v>132</v>
      </c>
      <c r="G22" s="66" t="s">
        <v>132</v>
      </c>
      <c r="H22" s="66">
        <v>6.9467640019794802E-5</v>
      </c>
      <c r="I22" s="66">
        <v>1.20410576034311E-4</v>
      </c>
      <c r="J22" s="66" t="s">
        <v>132</v>
      </c>
      <c r="K22" s="66" t="s">
        <v>132</v>
      </c>
      <c r="L22" s="66" t="s">
        <v>132</v>
      </c>
      <c r="M22" s="66">
        <v>6.4634501194367196E-5</v>
      </c>
      <c r="N22" s="66" t="s">
        <v>132</v>
      </c>
      <c r="O22" s="66" t="s">
        <v>132</v>
      </c>
      <c r="P22" s="55" t="s">
        <v>132</v>
      </c>
      <c r="Q22" s="59">
        <v>3.2012104393383479E-4</v>
      </c>
    </row>
    <row r="23" spans="1:17" ht="12.75" customHeight="1" x14ac:dyDescent="0.2">
      <c r="A23" s="23" t="s">
        <v>6</v>
      </c>
      <c r="B23" s="53">
        <v>8.7973818493934002E-4</v>
      </c>
      <c r="C23" s="67">
        <v>7.0757461615784804E-4</v>
      </c>
      <c r="D23" s="67">
        <v>1.54372533377322E-6</v>
      </c>
      <c r="E23" s="67">
        <v>3.3443612220268701E-4</v>
      </c>
      <c r="F23" s="67">
        <v>1.31216653370723E-5</v>
      </c>
      <c r="G23" s="67">
        <v>8.2661460323730306E-5</v>
      </c>
      <c r="H23" s="67" t="s">
        <v>132</v>
      </c>
      <c r="I23" s="67">
        <v>7.7186266688660904E-7</v>
      </c>
      <c r="J23" s="67">
        <v>3.2418232009237601E-5</v>
      </c>
      <c r="K23" s="67">
        <v>2.0292056423996001E-5</v>
      </c>
      <c r="L23" s="67">
        <v>4.0408827813768501E-4</v>
      </c>
      <c r="M23" s="67">
        <v>6.6745116474449095E-4</v>
      </c>
      <c r="N23" s="67" t="s">
        <v>132</v>
      </c>
      <c r="O23" s="67" t="s">
        <v>132</v>
      </c>
      <c r="P23" s="56" t="s">
        <v>132</v>
      </c>
      <c r="Q23" s="58">
        <v>3.1440973682767474E-3</v>
      </c>
    </row>
    <row r="24" spans="1:17" ht="12.75" customHeight="1" thickBot="1" x14ac:dyDescent="0.25">
      <c r="A24" s="9" t="s">
        <v>37</v>
      </c>
      <c r="B24" s="10" t="s">
        <v>132</v>
      </c>
      <c r="C24" s="6">
        <v>6.1749013350928698E-6</v>
      </c>
      <c r="D24" s="6" t="s">
        <v>132</v>
      </c>
      <c r="E24" s="6">
        <v>7.3723716818089205E-5</v>
      </c>
      <c r="F24" s="6">
        <v>1.08060773364125E-5</v>
      </c>
      <c r="G24" s="6">
        <v>3.8593133344330398E-5</v>
      </c>
      <c r="H24" s="6" t="s">
        <v>132</v>
      </c>
      <c r="I24" s="6" t="s">
        <v>132</v>
      </c>
      <c r="J24" s="6">
        <v>1.7617948868990001E-4</v>
      </c>
      <c r="K24" s="6">
        <v>1.45928688623972E-4</v>
      </c>
      <c r="L24" s="6">
        <v>6.5150968471732696E-3</v>
      </c>
      <c r="M24" s="6">
        <v>5.5861228363308804E-4</v>
      </c>
      <c r="N24" s="6" t="s">
        <v>132</v>
      </c>
      <c r="O24" s="6" t="s">
        <v>132</v>
      </c>
      <c r="P24" s="7">
        <v>6.1337782496534002E-6</v>
      </c>
      <c r="Q24" s="11">
        <v>7.5312489152038085E-3</v>
      </c>
    </row>
    <row r="25" spans="1:17" ht="12.75" customHeight="1" thickTop="1" thickBot="1" x14ac:dyDescent="0.25">
      <c r="A25" s="8" t="s">
        <v>0</v>
      </c>
      <c r="B25" s="13">
        <v>4.6814332619168897E-3</v>
      </c>
      <c r="C25" s="73">
        <v>8.1497084633316199E-3</v>
      </c>
      <c r="D25" s="73">
        <v>3.4044053337629956E-3</v>
      </c>
      <c r="E25" s="73">
        <v>7.0304586063660137E-3</v>
      </c>
      <c r="F25" s="73">
        <v>1.0989188001397415E-3</v>
      </c>
      <c r="G25" s="73">
        <v>6.8074688356444413E-4</v>
      </c>
      <c r="H25" s="73">
        <v>6.284040278898324E-3</v>
      </c>
      <c r="I25" s="73">
        <v>2.5462741343546405E-3</v>
      </c>
      <c r="J25" s="73">
        <v>4.2915384108709927E-3</v>
      </c>
      <c r="K25" s="73">
        <v>2.1335679926666783E-3</v>
      </c>
      <c r="L25" s="73">
        <v>1.8399845639149853E-2</v>
      </c>
      <c r="M25" s="73">
        <v>8.7229735933264645E-3</v>
      </c>
      <c r="N25" s="73" t="s">
        <v>132</v>
      </c>
      <c r="O25" s="73">
        <v>3.5130583473758903E-5</v>
      </c>
      <c r="P25" s="15">
        <v>5.0647836224792381E-4</v>
      </c>
      <c r="Q25" s="12">
        <v>6.7965520344070343E-2</v>
      </c>
    </row>
    <row r="28" spans="1:17" ht="15" x14ac:dyDescent="0.25">
      <c r="A28" s="109" t="s">
        <v>126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</row>
    <row r="29" spans="1:17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ht="13.5" thickBot="1" x14ac:dyDescent="0.25">
      <c r="A30" s="31" t="s">
        <v>133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ht="39" thickBot="1" x14ac:dyDescent="0.25">
      <c r="A31" s="51" t="s">
        <v>88</v>
      </c>
      <c r="B31" s="52" t="s">
        <v>38</v>
      </c>
      <c r="C31" s="68" t="s">
        <v>39</v>
      </c>
      <c r="D31" s="68" t="s">
        <v>40</v>
      </c>
      <c r="E31" s="68" t="s">
        <v>41</v>
      </c>
      <c r="F31" s="68" t="s">
        <v>42</v>
      </c>
      <c r="G31" s="68" t="s">
        <v>43</v>
      </c>
      <c r="H31" s="68" t="s">
        <v>44</v>
      </c>
      <c r="I31" s="68" t="s">
        <v>45</v>
      </c>
      <c r="J31" s="68" t="s">
        <v>64</v>
      </c>
      <c r="K31" s="68" t="s">
        <v>46</v>
      </c>
      <c r="L31" s="68" t="s">
        <v>7</v>
      </c>
      <c r="M31" s="68" t="s">
        <v>76</v>
      </c>
      <c r="N31" s="68" t="s">
        <v>47</v>
      </c>
      <c r="O31" s="68" t="s">
        <v>48</v>
      </c>
      <c r="P31" s="57" t="s">
        <v>49</v>
      </c>
      <c r="Q31" s="50" t="s">
        <v>0</v>
      </c>
    </row>
    <row r="32" spans="1:17" x14ac:dyDescent="0.2">
      <c r="A32" s="49" t="s">
        <v>8</v>
      </c>
      <c r="B32" s="53" t="s">
        <v>132</v>
      </c>
      <c r="C32" s="67" t="s">
        <v>132</v>
      </c>
      <c r="D32" s="67" t="s">
        <v>132</v>
      </c>
      <c r="E32" s="67">
        <v>5.5692555672260898E-4</v>
      </c>
      <c r="F32" s="67">
        <v>5.3550534300250904E-6</v>
      </c>
      <c r="G32" s="67">
        <v>2.67752671501254E-5</v>
      </c>
      <c r="H32" s="67" t="s">
        <v>132</v>
      </c>
      <c r="I32" s="67" t="s">
        <v>132</v>
      </c>
      <c r="J32" s="67">
        <v>5.9548194141878996E-4</v>
      </c>
      <c r="K32" s="67">
        <v>1.87426870050878E-4</v>
      </c>
      <c r="L32" s="67">
        <v>1.23166228890577E-4</v>
      </c>
      <c r="M32" s="67">
        <v>1.60651602900753E-5</v>
      </c>
      <c r="N32" s="67" t="s">
        <v>132</v>
      </c>
      <c r="O32" s="67" t="s">
        <v>132</v>
      </c>
      <c r="P32" s="56" t="s">
        <v>132</v>
      </c>
      <c r="Q32" s="58">
        <v>1.5111960779530798E-3</v>
      </c>
    </row>
    <row r="33" spans="1:17" x14ac:dyDescent="0.2">
      <c r="A33" s="48" t="s">
        <v>9</v>
      </c>
      <c r="B33" s="54">
        <v>1.12991627373529E-3</v>
      </c>
      <c r="C33" s="66" t="s">
        <v>132</v>
      </c>
      <c r="D33" s="66">
        <v>1.4887048535469701E-3</v>
      </c>
      <c r="E33" s="66">
        <v>4.9801996899233303E-4</v>
      </c>
      <c r="F33" s="66">
        <v>4.2840427440200699E-4</v>
      </c>
      <c r="G33" s="66">
        <v>1.4458644261067699E-4</v>
      </c>
      <c r="H33" s="66" t="s">
        <v>132</v>
      </c>
      <c r="I33" s="66">
        <v>1.60651602900753E-5</v>
      </c>
      <c r="J33" s="66">
        <v>8.5680854880401406E-5</v>
      </c>
      <c r="K33" s="66">
        <v>3.0523804551143001E-4</v>
      </c>
      <c r="L33" s="66">
        <v>1.5101250672670699E-3</v>
      </c>
      <c r="M33" s="66">
        <v>8.9429392281418899E-4</v>
      </c>
      <c r="N33" s="66" t="s">
        <v>132</v>
      </c>
      <c r="O33" s="66">
        <v>1.60651602900753E-5</v>
      </c>
      <c r="P33" s="55">
        <v>2.1420213720100399E-5</v>
      </c>
      <c r="Q33" s="59">
        <v>6.5385202380606189E-3</v>
      </c>
    </row>
    <row r="34" spans="1:17" x14ac:dyDescent="0.2">
      <c r="A34" s="49" t="s">
        <v>10</v>
      </c>
      <c r="B34" s="53" t="s">
        <v>132</v>
      </c>
      <c r="C34" s="67" t="s">
        <v>132</v>
      </c>
      <c r="D34" s="67" t="s">
        <v>132</v>
      </c>
      <c r="E34" s="67">
        <v>2.4633245778115401E-4</v>
      </c>
      <c r="F34" s="67">
        <v>5.3550534300250904E-6</v>
      </c>
      <c r="G34" s="67" t="s">
        <v>132</v>
      </c>
      <c r="H34" s="67" t="s">
        <v>132</v>
      </c>
      <c r="I34" s="67" t="s">
        <v>132</v>
      </c>
      <c r="J34" s="67" t="s">
        <v>132</v>
      </c>
      <c r="K34" s="67" t="s">
        <v>132</v>
      </c>
      <c r="L34" s="67">
        <v>6.4260641160301105E-5</v>
      </c>
      <c r="M34" s="67">
        <v>6.5331651846306103E-4</v>
      </c>
      <c r="N34" s="67" t="s">
        <v>132</v>
      </c>
      <c r="O34" s="67" t="s">
        <v>132</v>
      </c>
      <c r="P34" s="56">
        <v>1.60651602900753E-5</v>
      </c>
      <c r="Q34" s="58">
        <v>9.8532983112461646E-4</v>
      </c>
    </row>
    <row r="35" spans="1:17" x14ac:dyDescent="0.2">
      <c r="A35" s="48" t="s">
        <v>11</v>
      </c>
      <c r="B35" s="54" t="s">
        <v>132</v>
      </c>
      <c r="C35" s="66" t="s">
        <v>132</v>
      </c>
      <c r="D35" s="66">
        <v>1.07101068600502E-4</v>
      </c>
      <c r="E35" s="66">
        <v>1.6600665633077801E-4</v>
      </c>
      <c r="F35" s="66" t="s">
        <v>132</v>
      </c>
      <c r="G35" s="66">
        <v>2.1420213720100399E-5</v>
      </c>
      <c r="H35" s="66" t="s">
        <v>132</v>
      </c>
      <c r="I35" s="66" t="s">
        <v>132</v>
      </c>
      <c r="J35" s="66">
        <v>6.1583114445288504E-4</v>
      </c>
      <c r="K35" s="66">
        <v>4.8195480870225802E-5</v>
      </c>
      <c r="L35" s="66">
        <v>1.6600665633077801E-4</v>
      </c>
      <c r="M35" s="66">
        <v>4.71244701842208E-4</v>
      </c>
      <c r="N35" s="66" t="s">
        <v>132</v>
      </c>
      <c r="O35" s="66" t="s">
        <v>132</v>
      </c>
      <c r="P35" s="55">
        <v>1.60651602900753E-5</v>
      </c>
      <c r="Q35" s="59">
        <v>1.6118710824375526E-3</v>
      </c>
    </row>
    <row r="36" spans="1:17" x14ac:dyDescent="0.2">
      <c r="A36" s="49" t="s">
        <v>12</v>
      </c>
      <c r="B36" s="53" t="s">
        <v>132</v>
      </c>
      <c r="C36" s="67" t="s">
        <v>132</v>
      </c>
      <c r="D36" s="67" t="s">
        <v>132</v>
      </c>
      <c r="E36" s="67">
        <v>5.3550534300250904E-6</v>
      </c>
      <c r="F36" s="67" t="s">
        <v>132</v>
      </c>
      <c r="G36" s="67" t="s">
        <v>132</v>
      </c>
      <c r="H36" s="67" t="s">
        <v>132</v>
      </c>
      <c r="I36" s="67" t="s">
        <v>132</v>
      </c>
      <c r="J36" s="67">
        <v>3.7485374010175597E-5</v>
      </c>
      <c r="K36" s="67">
        <v>5.3550534300250904E-6</v>
      </c>
      <c r="L36" s="67">
        <v>2.0884708377097899E-4</v>
      </c>
      <c r="M36" s="67">
        <v>1.32805325064622E-3</v>
      </c>
      <c r="N36" s="67" t="s">
        <v>132</v>
      </c>
      <c r="O36" s="67">
        <v>2.1420213720100399E-5</v>
      </c>
      <c r="P36" s="56">
        <v>5.3550534300250904E-6</v>
      </c>
      <c r="Q36" s="58">
        <v>1.6118710824375502E-3</v>
      </c>
    </row>
    <row r="37" spans="1:17" x14ac:dyDescent="0.2">
      <c r="A37" s="48" t="s">
        <v>13</v>
      </c>
      <c r="B37" s="54" t="s">
        <v>132</v>
      </c>
      <c r="C37" s="66" t="s">
        <v>132</v>
      </c>
      <c r="D37" s="66" t="s">
        <v>132</v>
      </c>
      <c r="E37" s="66" t="s">
        <v>132</v>
      </c>
      <c r="F37" s="66" t="s">
        <v>132</v>
      </c>
      <c r="G37" s="66" t="s">
        <v>132</v>
      </c>
      <c r="H37" s="66" t="s">
        <v>132</v>
      </c>
      <c r="I37" s="66" t="s">
        <v>132</v>
      </c>
      <c r="J37" s="66" t="s">
        <v>132</v>
      </c>
      <c r="K37" s="66" t="s">
        <v>132</v>
      </c>
      <c r="L37" s="66">
        <v>3.7485374010175597E-5</v>
      </c>
      <c r="M37" s="66" t="s">
        <v>132</v>
      </c>
      <c r="N37" s="66" t="s">
        <v>132</v>
      </c>
      <c r="O37" s="66" t="s">
        <v>132</v>
      </c>
      <c r="P37" s="55">
        <v>2.1420213720100399E-5</v>
      </c>
      <c r="Q37" s="59">
        <v>5.8905587730275993E-5</v>
      </c>
    </row>
    <row r="38" spans="1:17" x14ac:dyDescent="0.2">
      <c r="A38" s="49" t="s">
        <v>14</v>
      </c>
      <c r="B38" s="53" t="s">
        <v>132</v>
      </c>
      <c r="C38" s="67" t="s">
        <v>132</v>
      </c>
      <c r="D38" s="67" t="s">
        <v>132</v>
      </c>
      <c r="E38" s="67">
        <v>5.3550534300250904E-6</v>
      </c>
      <c r="F38" s="67" t="s">
        <v>132</v>
      </c>
      <c r="G38" s="67" t="s">
        <v>132</v>
      </c>
      <c r="H38" s="67" t="s">
        <v>132</v>
      </c>
      <c r="I38" s="67" t="s">
        <v>132</v>
      </c>
      <c r="J38" s="67" t="s">
        <v>132</v>
      </c>
      <c r="K38" s="67" t="s">
        <v>132</v>
      </c>
      <c r="L38" s="67" t="s">
        <v>132</v>
      </c>
      <c r="M38" s="67" t="s">
        <v>132</v>
      </c>
      <c r="N38" s="67" t="s">
        <v>132</v>
      </c>
      <c r="O38" s="67" t="s">
        <v>132</v>
      </c>
      <c r="P38" s="56" t="s">
        <v>132</v>
      </c>
      <c r="Q38" s="58">
        <v>5.3550534300250904E-6</v>
      </c>
    </row>
    <row r="39" spans="1:17" x14ac:dyDescent="0.2">
      <c r="A39" s="48" t="s">
        <v>15</v>
      </c>
      <c r="B39" s="54" t="s">
        <v>132</v>
      </c>
      <c r="C39" s="66" t="s">
        <v>132</v>
      </c>
      <c r="D39" s="66" t="s">
        <v>132</v>
      </c>
      <c r="E39" s="66">
        <v>3.2130320580150498E-5</v>
      </c>
      <c r="F39" s="66" t="s">
        <v>132</v>
      </c>
      <c r="G39" s="66" t="s">
        <v>132</v>
      </c>
      <c r="H39" s="66" t="s">
        <v>132</v>
      </c>
      <c r="I39" s="66" t="s">
        <v>132</v>
      </c>
      <c r="J39" s="66">
        <v>5.3550534300250904E-6</v>
      </c>
      <c r="K39" s="66" t="s">
        <v>132</v>
      </c>
      <c r="L39" s="66">
        <v>1.55296549470728E-4</v>
      </c>
      <c r="M39" s="66">
        <v>6.4260641160301105E-5</v>
      </c>
      <c r="N39" s="66" t="s">
        <v>132</v>
      </c>
      <c r="O39" s="66" t="s">
        <v>132</v>
      </c>
      <c r="P39" s="55" t="s">
        <v>132</v>
      </c>
      <c r="Q39" s="59">
        <v>2.5704256464120469E-4</v>
      </c>
    </row>
    <row r="40" spans="1:17" x14ac:dyDescent="0.2">
      <c r="A40" s="49" t="s">
        <v>16</v>
      </c>
      <c r="B40" s="53" t="s">
        <v>132</v>
      </c>
      <c r="C40" s="67" t="s">
        <v>132</v>
      </c>
      <c r="D40" s="67" t="s">
        <v>132</v>
      </c>
      <c r="E40" s="67" t="s">
        <v>132</v>
      </c>
      <c r="F40" s="67" t="s">
        <v>132</v>
      </c>
      <c r="G40" s="67" t="s">
        <v>132</v>
      </c>
      <c r="H40" s="67" t="s">
        <v>132</v>
      </c>
      <c r="I40" s="67" t="s">
        <v>132</v>
      </c>
      <c r="J40" s="67" t="s">
        <v>132</v>
      </c>
      <c r="K40" s="67" t="s">
        <v>132</v>
      </c>
      <c r="L40" s="67" t="s">
        <v>132</v>
      </c>
      <c r="M40" s="67" t="s">
        <v>132</v>
      </c>
      <c r="N40" s="67" t="s">
        <v>132</v>
      </c>
      <c r="O40" s="67" t="s">
        <v>132</v>
      </c>
      <c r="P40" s="56" t="s">
        <v>132</v>
      </c>
      <c r="Q40" s="58" t="s">
        <v>132</v>
      </c>
    </row>
    <row r="41" spans="1:17" x14ac:dyDescent="0.2">
      <c r="A41" s="48" t="s">
        <v>17</v>
      </c>
      <c r="B41" s="54" t="s">
        <v>132</v>
      </c>
      <c r="C41" s="66" t="s">
        <v>132</v>
      </c>
      <c r="D41" s="66" t="s">
        <v>132</v>
      </c>
      <c r="E41" s="66">
        <v>3.2130320580150498E-5</v>
      </c>
      <c r="F41" s="66" t="s">
        <v>132</v>
      </c>
      <c r="G41" s="66" t="s">
        <v>132</v>
      </c>
      <c r="H41" s="66" t="s">
        <v>132</v>
      </c>
      <c r="I41" s="66" t="s">
        <v>132</v>
      </c>
      <c r="J41" s="66" t="s">
        <v>132</v>
      </c>
      <c r="K41" s="66" t="s">
        <v>132</v>
      </c>
      <c r="L41" s="66">
        <v>6.9615694590326204E-5</v>
      </c>
      <c r="M41" s="66">
        <v>1.0710106860050199E-5</v>
      </c>
      <c r="N41" s="66" t="s">
        <v>132</v>
      </c>
      <c r="O41" s="66" t="s">
        <v>132</v>
      </c>
      <c r="P41" s="55" t="s">
        <v>132</v>
      </c>
      <c r="Q41" s="59">
        <v>1.124561220305269E-4</v>
      </c>
    </row>
    <row r="42" spans="1:17" x14ac:dyDescent="0.2">
      <c r="A42" s="49" t="s">
        <v>89</v>
      </c>
      <c r="B42" s="53" t="s">
        <v>132</v>
      </c>
      <c r="C42" s="67" t="s">
        <v>132</v>
      </c>
      <c r="D42" s="67" t="s">
        <v>132</v>
      </c>
      <c r="E42" s="67" t="s">
        <v>132</v>
      </c>
      <c r="F42" s="67" t="s">
        <v>132</v>
      </c>
      <c r="G42" s="67" t="s">
        <v>132</v>
      </c>
      <c r="H42" s="67" t="s">
        <v>132</v>
      </c>
      <c r="I42" s="67" t="s">
        <v>132</v>
      </c>
      <c r="J42" s="67" t="s">
        <v>132</v>
      </c>
      <c r="K42" s="67" t="s">
        <v>132</v>
      </c>
      <c r="L42" s="67" t="s">
        <v>132</v>
      </c>
      <c r="M42" s="67" t="s">
        <v>132</v>
      </c>
      <c r="N42" s="67" t="s">
        <v>132</v>
      </c>
      <c r="O42" s="67" t="s">
        <v>132</v>
      </c>
      <c r="P42" s="56" t="s">
        <v>132</v>
      </c>
      <c r="Q42" s="58" t="s">
        <v>132</v>
      </c>
    </row>
    <row r="43" spans="1:17" x14ac:dyDescent="0.2">
      <c r="A43" s="48" t="s">
        <v>79</v>
      </c>
      <c r="B43" s="54" t="s">
        <v>132</v>
      </c>
      <c r="C43" s="66" t="s">
        <v>132</v>
      </c>
      <c r="D43" s="66" t="s">
        <v>132</v>
      </c>
      <c r="E43" s="66">
        <v>3.7485374010175597E-5</v>
      </c>
      <c r="F43" s="66" t="s">
        <v>132</v>
      </c>
      <c r="G43" s="66" t="s">
        <v>132</v>
      </c>
      <c r="H43" s="66" t="s">
        <v>132</v>
      </c>
      <c r="I43" s="66" t="s">
        <v>132</v>
      </c>
      <c r="J43" s="66" t="s">
        <v>132</v>
      </c>
      <c r="K43" s="66" t="s">
        <v>132</v>
      </c>
      <c r="L43" s="66" t="s">
        <v>132</v>
      </c>
      <c r="M43" s="66" t="s">
        <v>132</v>
      </c>
      <c r="N43" s="66" t="s">
        <v>132</v>
      </c>
      <c r="O43" s="66" t="s">
        <v>132</v>
      </c>
      <c r="P43" s="55">
        <v>6.9615694590326204E-5</v>
      </c>
      <c r="Q43" s="59">
        <v>1.071010686005018E-4</v>
      </c>
    </row>
    <row r="44" spans="1:17" x14ac:dyDescent="0.2">
      <c r="A44" s="49" t="s">
        <v>80</v>
      </c>
      <c r="B44" s="53" t="s">
        <v>132</v>
      </c>
      <c r="C44" s="67" t="s">
        <v>132</v>
      </c>
      <c r="D44" s="67" t="s">
        <v>132</v>
      </c>
      <c r="E44" s="67" t="s">
        <v>132</v>
      </c>
      <c r="F44" s="67" t="s">
        <v>132</v>
      </c>
      <c r="G44" s="67">
        <v>5.3550534300250904E-6</v>
      </c>
      <c r="H44" s="67" t="s">
        <v>132</v>
      </c>
      <c r="I44" s="67" t="s">
        <v>132</v>
      </c>
      <c r="J44" s="67" t="s">
        <v>132</v>
      </c>
      <c r="K44" s="67" t="s">
        <v>132</v>
      </c>
      <c r="L44" s="67">
        <v>5.3550534300250901E-5</v>
      </c>
      <c r="M44" s="67">
        <v>1.6065160290075299E-4</v>
      </c>
      <c r="N44" s="67" t="s">
        <v>132</v>
      </c>
      <c r="O44" s="67" t="s">
        <v>132</v>
      </c>
      <c r="P44" s="56">
        <v>8.0325801450376294E-5</v>
      </c>
      <c r="Q44" s="58">
        <v>2.9988299208140527E-4</v>
      </c>
    </row>
    <row r="45" spans="1:17" x14ac:dyDescent="0.2">
      <c r="A45" s="48" t="s">
        <v>18</v>
      </c>
      <c r="B45" s="54" t="s">
        <v>132</v>
      </c>
      <c r="C45" s="66" t="s">
        <v>132</v>
      </c>
      <c r="D45" s="66" t="s">
        <v>132</v>
      </c>
      <c r="E45" s="66" t="s">
        <v>132</v>
      </c>
      <c r="F45" s="66" t="s">
        <v>132</v>
      </c>
      <c r="G45" s="66" t="s">
        <v>132</v>
      </c>
      <c r="H45" s="66" t="s">
        <v>132</v>
      </c>
      <c r="I45" s="66" t="s">
        <v>132</v>
      </c>
      <c r="J45" s="66" t="s">
        <v>132</v>
      </c>
      <c r="K45" s="66" t="s">
        <v>132</v>
      </c>
      <c r="L45" s="66" t="s">
        <v>132</v>
      </c>
      <c r="M45" s="66">
        <v>5.3550534300250904E-6</v>
      </c>
      <c r="N45" s="66" t="s">
        <v>132</v>
      </c>
      <c r="O45" s="66" t="s">
        <v>132</v>
      </c>
      <c r="P45" s="55" t="s">
        <v>132</v>
      </c>
      <c r="Q45" s="59">
        <v>5.3550534300250904E-6</v>
      </c>
    </row>
    <row r="46" spans="1:17" x14ac:dyDescent="0.2">
      <c r="A46" s="49" t="s">
        <v>78</v>
      </c>
      <c r="B46" s="53" t="s">
        <v>132</v>
      </c>
      <c r="C46" s="67" t="s">
        <v>132</v>
      </c>
      <c r="D46" s="67" t="s">
        <v>132</v>
      </c>
      <c r="E46" s="67">
        <v>2.19557190631029E-4</v>
      </c>
      <c r="F46" s="67" t="s">
        <v>132</v>
      </c>
      <c r="G46" s="67" t="s">
        <v>132</v>
      </c>
      <c r="H46" s="67" t="s">
        <v>132</v>
      </c>
      <c r="I46" s="67" t="s">
        <v>132</v>
      </c>
      <c r="J46" s="67" t="s">
        <v>132</v>
      </c>
      <c r="K46" s="67">
        <v>1.0710106860050199E-5</v>
      </c>
      <c r="L46" s="67">
        <v>1.0710106860050199E-5</v>
      </c>
      <c r="M46" s="67">
        <v>5.3550534300250904E-6</v>
      </c>
      <c r="N46" s="67" t="s">
        <v>132</v>
      </c>
      <c r="O46" s="67" t="s">
        <v>132</v>
      </c>
      <c r="P46" s="56">
        <v>5.3550534300250904E-6</v>
      </c>
      <c r="Q46" s="58">
        <v>2.5168751121117957E-4</v>
      </c>
    </row>
    <row r="47" spans="1:17" x14ac:dyDescent="0.2">
      <c r="A47" s="48" t="s">
        <v>33</v>
      </c>
      <c r="B47" s="54">
        <v>2.7846277836130498E-4</v>
      </c>
      <c r="C47" s="66">
        <v>9.5855456397449105E-4</v>
      </c>
      <c r="D47" s="66" t="s">
        <v>132</v>
      </c>
      <c r="E47" s="66">
        <v>1.86891364707876E-3</v>
      </c>
      <c r="F47" s="66" t="s">
        <v>132</v>
      </c>
      <c r="G47" s="66" t="s">
        <v>132</v>
      </c>
      <c r="H47" s="66">
        <v>3.4807847295163102E-4</v>
      </c>
      <c r="I47" s="66">
        <v>5.8905587730275996E-4</v>
      </c>
      <c r="J47" s="66" t="s">
        <v>132</v>
      </c>
      <c r="K47" s="66" t="s">
        <v>132</v>
      </c>
      <c r="L47" s="66">
        <v>2.9881198139540001E-3</v>
      </c>
      <c r="M47" s="66">
        <v>1.9813697691092801E-4</v>
      </c>
      <c r="N47" s="66" t="s">
        <v>132</v>
      </c>
      <c r="O47" s="66" t="s">
        <v>132</v>
      </c>
      <c r="P47" s="55">
        <v>1.3387633575062701E-4</v>
      </c>
      <c r="Q47" s="59">
        <v>7.3631984662845011E-3</v>
      </c>
    </row>
    <row r="48" spans="1:17" x14ac:dyDescent="0.2">
      <c r="A48" s="49" t="s">
        <v>34</v>
      </c>
      <c r="B48" s="53">
        <v>3.7485374010175597E-5</v>
      </c>
      <c r="C48" s="67">
        <v>5.5692555672260898E-4</v>
      </c>
      <c r="D48" s="67" t="s">
        <v>132</v>
      </c>
      <c r="E48" s="67" t="s">
        <v>132</v>
      </c>
      <c r="F48" s="67" t="s">
        <v>132</v>
      </c>
      <c r="G48" s="67" t="s">
        <v>132</v>
      </c>
      <c r="H48" s="67">
        <v>3.2130320580150501E-4</v>
      </c>
      <c r="I48" s="67" t="s">
        <v>132</v>
      </c>
      <c r="J48" s="67" t="s">
        <v>132</v>
      </c>
      <c r="K48" s="67" t="s">
        <v>132</v>
      </c>
      <c r="L48" s="67">
        <v>9.6390961740451604E-5</v>
      </c>
      <c r="M48" s="67" t="s">
        <v>132</v>
      </c>
      <c r="N48" s="67" t="s">
        <v>132</v>
      </c>
      <c r="O48" s="67" t="s">
        <v>132</v>
      </c>
      <c r="P48" s="56">
        <v>1.60651602900753E-5</v>
      </c>
      <c r="Q48" s="58">
        <v>1.0281702585648164E-3</v>
      </c>
    </row>
    <row r="49" spans="1:17" x14ac:dyDescent="0.2">
      <c r="A49" s="48" t="s">
        <v>35</v>
      </c>
      <c r="B49" s="54">
        <v>9.6390961740451604E-5</v>
      </c>
      <c r="C49" s="66">
        <v>6.2654125131293497E-4</v>
      </c>
      <c r="D49" s="66" t="s">
        <v>132</v>
      </c>
      <c r="E49" s="66" t="s">
        <v>132</v>
      </c>
      <c r="F49" s="66" t="s">
        <v>132</v>
      </c>
      <c r="G49" s="66" t="s">
        <v>132</v>
      </c>
      <c r="H49" s="66">
        <v>1.39231389180652E-4</v>
      </c>
      <c r="I49" s="66" t="s">
        <v>132</v>
      </c>
      <c r="J49" s="66" t="s">
        <v>132</v>
      </c>
      <c r="K49" s="66" t="s">
        <v>132</v>
      </c>
      <c r="L49" s="66">
        <v>8.0325801450376294E-5</v>
      </c>
      <c r="M49" s="66" t="s">
        <v>132</v>
      </c>
      <c r="N49" s="66" t="s">
        <v>132</v>
      </c>
      <c r="O49" s="66" t="s">
        <v>132</v>
      </c>
      <c r="P49" s="55" t="s">
        <v>132</v>
      </c>
      <c r="Q49" s="59">
        <v>9.424894036844148E-4</v>
      </c>
    </row>
    <row r="50" spans="1:17" x14ac:dyDescent="0.2">
      <c r="A50" s="49" t="s">
        <v>36</v>
      </c>
      <c r="B50" s="53" t="s">
        <v>132</v>
      </c>
      <c r="C50" s="67" t="s">
        <v>132</v>
      </c>
      <c r="D50" s="67" t="s">
        <v>132</v>
      </c>
      <c r="E50" s="67" t="s">
        <v>132</v>
      </c>
      <c r="F50" s="67" t="s">
        <v>132</v>
      </c>
      <c r="G50" s="67" t="s">
        <v>132</v>
      </c>
      <c r="H50" s="67" t="s">
        <v>132</v>
      </c>
      <c r="I50" s="67" t="s">
        <v>132</v>
      </c>
      <c r="J50" s="67" t="s">
        <v>132</v>
      </c>
      <c r="K50" s="67" t="s">
        <v>132</v>
      </c>
      <c r="L50" s="67" t="s">
        <v>132</v>
      </c>
      <c r="M50" s="67">
        <v>6.4260641160301105E-5</v>
      </c>
      <c r="N50" s="67" t="s">
        <v>132</v>
      </c>
      <c r="O50" s="67" t="s">
        <v>132</v>
      </c>
      <c r="P50" s="56" t="s">
        <v>132</v>
      </c>
      <c r="Q50" s="58">
        <v>6.4260641160301105E-5</v>
      </c>
    </row>
    <row r="51" spans="1:17" x14ac:dyDescent="0.2">
      <c r="A51" s="48" t="s">
        <v>6</v>
      </c>
      <c r="B51" s="54">
        <v>4.5517954155213202E-4</v>
      </c>
      <c r="C51" s="66">
        <v>5.62280610152634E-4</v>
      </c>
      <c r="D51" s="66" t="s">
        <v>132</v>
      </c>
      <c r="E51" s="66">
        <v>1.71361709760803E-4</v>
      </c>
      <c r="F51" s="66" t="s">
        <v>132</v>
      </c>
      <c r="G51" s="66">
        <v>5.8905587730276E-5</v>
      </c>
      <c r="H51" s="66" t="s">
        <v>132</v>
      </c>
      <c r="I51" s="66" t="s">
        <v>132</v>
      </c>
      <c r="J51" s="66" t="s">
        <v>132</v>
      </c>
      <c r="K51" s="66">
        <v>1.0710106860050199E-5</v>
      </c>
      <c r="L51" s="66">
        <v>4.4446943469208199E-4</v>
      </c>
      <c r="M51" s="66">
        <v>3.8556384696180598E-4</v>
      </c>
      <c r="N51" s="66" t="s">
        <v>132</v>
      </c>
      <c r="O51" s="66" t="s">
        <v>132</v>
      </c>
      <c r="P51" s="55" t="s">
        <v>132</v>
      </c>
      <c r="Q51" s="59">
        <v>2.0884708377097833E-3</v>
      </c>
    </row>
    <row r="52" spans="1:17" ht="13.5" thickBot="1" x14ac:dyDescent="0.25">
      <c r="A52" s="49" t="s">
        <v>37</v>
      </c>
      <c r="B52" s="53" t="s">
        <v>132</v>
      </c>
      <c r="C52" s="67" t="s">
        <v>132</v>
      </c>
      <c r="D52" s="67" t="s">
        <v>132</v>
      </c>
      <c r="E52" s="67">
        <v>3.7485374010175597E-5</v>
      </c>
      <c r="F52" s="67" t="s">
        <v>132</v>
      </c>
      <c r="G52" s="67" t="s">
        <v>132</v>
      </c>
      <c r="H52" s="67" t="s">
        <v>132</v>
      </c>
      <c r="I52" s="67" t="s">
        <v>132</v>
      </c>
      <c r="J52" s="67">
        <v>1.01746015170477E-4</v>
      </c>
      <c r="K52" s="67">
        <v>3.2130320580150498E-5</v>
      </c>
      <c r="L52" s="67">
        <v>2.5008099518217101E-3</v>
      </c>
      <c r="M52" s="67">
        <v>3.9627395382185699E-4</v>
      </c>
      <c r="N52" s="67" t="s">
        <v>132</v>
      </c>
      <c r="O52" s="67" t="s">
        <v>132</v>
      </c>
      <c r="P52" s="56" t="s">
        <v>132</v>
      </c>
      <c r="Q52" s="58">
        <v>3.0684456154043702E-3</v>
      </c>
    </row>
    <row r="53" spans="1:17" ht="14.25" thickTop="1" thickBot="1" x14ac:dyDescent="0.25">
      <c r="A53" s="60" t="s">
        <v>0</v>
      </c>
      <c r="B53" s="61">
        <v>1.9974349293993541E-3</v>
      </c>
      <c r="C53" s="62">
        <v>2.704301982162669E-3</v>
      </c>
      <c r="D53" s="62">
        <v>1.5958059221474722E-3</v>
      </c>
      <c r="E53" s="62">
        <v>3.8770586833381682E-3</v>
      </c>
      <c r="F53" s="62">
        <v>4.3911438126205713E-4</v>
      </c>
      <c r="G53" s="62">
        <v>2.5704256464120388E-4</v>
      </c>
      <c r="H53" s="62">
        <v>8.0861306793378806E-4</v>
      </c>
      <c r="I53" s="62">
        <v>6.0512103759283523E-4</v>
      </c>
      <c r="J53" s="62">
        <v>1.4415803833627539E-3</v>
      </c>
      <c r="K53" s="62">
        <v>5.9976598416280999E-4</v>
      </c>
      <c r="L53" s="62">
        <v>8.5091799003098566E-3</v>
      </c>
      <c r="M53" s="62">
        <v>4.6535414306917997E-3</v>
      </c>
      <c r="N53" s="62" t="s">
        <v>132</v>
      </c>
      <c r="O53" s="62">
        <v>3.7485374010175699E-5</v>
      </c>
      <c r="P53" s="63">
        <v>3.8556384696180642E-4</v>
      </c>
      <c r="Q53" s="64">
        <v>2.7911609487976746E-2</v>
      </c>
    </row>
    <row r="56" spans="1:17" ht="15" x14ac:dyDescent="0.25">
      <c r="A56" s="109" t="s">
        <v>127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</row>
    <row r="57" spans="1:17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7" ht="13.5" thickBot="1" x14ac:dyDescent="0.25">
      <c r="A58" s="31" t="s">
        <v>133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1:17" ht="39" thickBot="1" x14ac:dyDescent="0.25">
      <c r="A59" s="51" t="s">
        <v>88</v>
      </c>
      <c r="B59" s="52" t="s">
        <v>38</v>
      </c>
      <c r="C59" s="68" t="s">
        <v>39</v>
      </c>
      <c r="D59" s="68" t="s">
        <v>40</v>
      </c>
      <c r="E59" s="68" t="s">
        <v>41</v>
      </c>
      <c r="F59" s="68" t="s">
        <v>42</v>
      </c>
      <c r="G59" s="68" t="s">
        <v>43</v>
      </c>
      <c r="H59" s="68" t="s">
        <v>44</v>
      </c>
      <c r="I59" s="68" t="s">
        <v>45</v>
      </c>
      <c r="J59" s="68" t="s">
        <v>64</v>
      </c>
      <c r="K59" s="68" t="s">
        <v>46</v>
      </c>
      <c r="L59" s="68" t="s">
        <v>7</v>
      </c>
      <c r="M59" s="68" t="s">
        <v>76</v>
      </c>
      <c r="N59" s="68" t="s">
        <v>47</v>
      </c>
      <c r="O59" s="68" t="s">
        <v>48</v>
      </c>
      <c r="P59" s="57" t="s">
        <v>49</v>
      </c>
      <c r="Q59" s="50" t="s">
        <v>0</v>
      </c>
    </row>
    <row r="60" spans="1:17" x14ac:dyDescent="0.2">
      <c r="A60" s="49" t="s">
        <v>8</v>
      </c>
      <c r="B60" s="53" t="s">
        <v>132</v>
      </c>
      <c r="C60" s="67" t="s">
        <v>132</v>
      </c>
      <c r="D60" s="67" t="s">
        <v>132</v>
      </c>
      <c r="E60" s="67">
        <v>3.26515471329534E-3</v>
      </c>
      <c r="F60" s="67">
        <v>2.8980663135757502E-5</v>
      </c>
      <c r="G60" s="67">
        <v>2.7048618926707002E-4</v>
      </c>
      <c r="H60" s="67" t="s">
        <v>132</v>
      </c>
      <c r="I60" s="67" t="s">
        <v>132</v>
      </c>
      <c r="J60" s="67">
        <v>5.7961326271514998E-3</v>
      </c>
      <c r="K60" s="67">
        <v>2.7435027768517098E-3</v>
      </c>
      <c r="L60" s="67">
        <v>4.7335083121737199E-4</v>
      </c>
      <c r="M60" s="67" t="s">
        <v>132</v>
      </c>
      <c r="N60" s="67" t="s">
        <v>132</v>
      </c>
      <c r="O60" s="67" t="s">
        <v>132</v>
      </c>
      <c r="P60" s="56">
        <v>7.5349724152969501E-4</v>
      </c>
      <c r="Q60" s="58">
        <v>1.3331105042448443E-2</v>
      </c>
    </row>
    <row r="61" spans="1:17" x14ac:dyDescent="0.2">
      <c r="A61" s="48" t="s">
        <v>9</v>
      </c>
      <c r="B61" s="54">
        <v>2.0719242097857599E-2</v>
      </c>
      <c r="C61" s="66" t="s">
        <v>132</v>
      </c>
      <c r="D61" s="66">
        <v>2.1146223868057701E-2</v>
      </c>
      <c r="E61" s="66">
        <v>1.1843431001479599E-2</v>
      </c>
      <c r="F61" s="66">
        <v>8.8255779469426799E-3</v>
      </c>
      <c r="G61" s="66">
        <v>1.9900055353220098E-3</v>
      </c>
      <c r="H61" s="66">
        <v>2.8980663135757502E-5</v>
      </c>
      <c r="I61" s="66">
        <v>5.2165193644363502E-4</v>
      </c>
      <c r="J61" s="66">
        <v>1.2461685148375699E-3</v>
      </c>
      <c r="K61" s="66">
        <v>1.4422710020562E-2</v>
      </c>
      <c r="L61" s="66">
        <v>1.7369077439364E-2</v>
      </c>
      <c r="M61" s="66">
        <v>8.6362376144557308E-3</v>
      </c>
      <c r="N61" s="66" t="s">
        <v>132</v>
      </c>
      <c r="O61" s="66" t="s">
        <v>132</v>
      </c>
      <c r="P61" s="55">
        <v>2.8980663135757502E-5</v>
      </c>
      <c r="Q61" s="59">
        <v>0.10677828730159401</v>
      </c>
    </row>
    <row r="62" spans="1:17" x14ac:dyDescent="0.2">
      <c r="A62" s="49" t="s">
        <v>10</v>
      </c>
      <c r="B62" s="53">
        <v>5.1199171539838197E-4</v>
      </c>
      <c r="C62" s="67">
        <v>1.9320442090505E-5</v>
      </c>
      <c r="D62" s="67" t="s">
        <v>132</v>
      </c>
      <c r="E62" s="67">
        <v>1.8161215565074701E-3</v>
      </c>
      <c r="F62" s="67" t="s">
        <v>132</v>
      </c>
      <c r="G62" s="67">
        <v>1.9320442090505E-5</v>
      </c>
      <c r="H62" s="67" t="s">
        <v>132</v>
      </c>
      <c r="I62" s="67">
        <v>9.6602210452524894E-5</v>
      </c>
      <c r="J62" s="67">
        <v>3.1878729449333202E-4</v>
      </c>
      <c r="K62" s="67">
        <v>3.6708839971959499E-4</v>
      </c>
      <c r="L62" s="67">
        <v>6.7621547316767505E-4</v>
      </c>
      <c r="M62" s="67">
        <v>1.4780138199236301E-3</v>
      </c>
      <c r="N62" s="67" t="s">
        <v>132</v>
      </c>
      <c r="O62" s="67" t="s">
        <v>132</v>
      </c>
      <c r="P62" s="56" t="s">
        <v>132</v>
      </c>
      <c r="Q62" s="58">
        <v>5.30346135384362E-3</v>
      </c>
    </row>
    <row r="63" spans="1:17" x14ac:dyDescent="0.2">
      <c r="A63" s="48" t="s">
        <v>11</v>
      </c>
      <c r="B63" s="54" t="s">
        <v>132</v>
      </c>
      <c r="C63" s="66" t="s">
        <v>132</v>
      </c>
      <c r="D63" s="66">
        <v>4.1442348284133198E-3</v>
      </c>
      <c r="E63" s="66">
        <v>1.23650829379232E-3</v>
      </c>
      <c r="F63" s="66" t="s">
        <v>132</v>
      </c>
      <c r="G63" s="66" t="s">
        <v>132</v>
      </c>
      <c r="H63" s="66" t="s">
        <v>132</v>
      </c>
      <c r="I63" s="66">
        <v>1.9320442090505E-5</v>
      </c>
      <c r="J63" s="66">
        <v>2.1590594036139301E-2</v>
      </c>
      <c r="K63" s="66">
        <v>8.69419894072724E-5</v>
      </c>
      <c r="L63" s="66">
        <v>2.7435027768517098E-3</v>
      </c>
      <c r="M63" s="66">
        <v>6.1439005847805902E-3</v>
      </c>
      <c r="N63" s="66" t="s">
        <v>132</v>
      </c>
      <c r="O63" s="66" t="s">
        <v>132</v>
      </c>
      <c r="P63" s="55">
        <v>1.9320442090505001E-4</v>
      </c>
      <c r="Q63" s="59">
        <v>3.6158207372380069E-2</v>
      </c>
    </row>
    <row r="64" spans="1:17" x14ac:dyDescent="0.2">
      <c r="A64" s="49" t="s">
        <v>12</v>
      </c>
      <c r="B64" s="53" t="s">
        <v>132</v>
      </c>
      <c r="C64" s="67" t="s">
        <v>132</v>
      </c>
      <c r="D64" s="67" t="s">
        <v>132</v>
      </c>
      <c r="E64" s="67">
        <v>1.2558287358828201E-4</v>
      </c>
      <c r="F64" s="67" t="s">
        <v>132</v>
      </c>
      <c r="G64" s="67">
        <v>9.6602210452524898E-6</v>
      </c>
      <c r="H64" s="67" t="s">
        <v>132</v>
      </c>
      <c r="I64" s="67">
        <v>4.8301105226262501E-5</v>
      </c>
      <c r="J64" s="67">
        <v>4.29879836513736E-3</v>
      </c>
      <c r="K64" s="67">
        <v>7.728176836202E-5</v>
      </c>
      <c r="L64" s="67">
        <v>5.3710829011603903E-3</v>
      </c>
      <c r="M64" s="67">
        <v>3.3872599073073301E-2</v>
      </c>
      <c r="N64" s="67" t="s">
        <v>132</v>
      </c>
      <c r="O64" s="67">
        <v>5.7961326271515003E-5</v>
      </c>
      <c r="P64" s="56">
        <v>5.7961326271515003E-5</v>
      </c>
      <c r="Q64" s="58">
        <v>4.3919228960135892E-2</v>
      </c>
    </row>
    <row r="65" spans="1:17" x14ac:dyDescent="0.2">
      <c r="A65" s="48" t="s">
        <v>13</v>
      </c>
      <c r="B65" s="54" t="s">
        <v>132</v>
      </c>
      <c r="C65" s="66" t="s">
        <v>132</v>
      </c>
      <c r="D65" s="66" t="s">
        <v>132</v>
      </c>
      <c r="E65" s="66" t="s">
        <v>132</v>
      </c>
      <c r="F65" s="66" t="s">
        <v>132</v>
      </c>
      <c r="G65" s="66" t="s">
        <v>132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>
        <v>2.8014641031232199E-4</v>
      </c>
      <c r="M65" s="66">
        <v>2.02864641950302E-4</v>
      </c>
      <c r="N65" s="66" t="s">
        <v>132</v>
      </c>
      <c r="O65" s="66" t="s">
        <v>132</v>
      </c>
      <c r="P65" s="55">
        <v>4.8301105226262501E-5</v>
      </c>
      <c r="Q65" s="59">
        <v>5.3131215748888655E-4</v>
      </c>
    </row>
    <row r="66" spans="1:17" x14ac:dyDescent="0.2">
      <c r="A66" s="49" t="s">
        <v>14</v>
      </c>
      <c r="B66" s="53" t="s">
        <v>132</v>
      </c>
      <c r="C66" s="67" t="s">
        <v>132</v>
      </c>
      <c r="D66" s="67" t="s">
        <v>132</v>
      </c>
      <c r="E66" s="67">
        <v>9.6602210452524898E-6</v>
      </c>
      <c r="F66" s="67" t="s">
        <v>132</v>
      </c>
      <c r="G66" s="67" t="s">
        <v>132</v>
      </c>
      <c r="H66" s="67" t="s">
        <v>132</v>
      </c>
      <c r="I66" s="67" t="s">
        <v>132</v>
      </c>
      <c r="J66" s="67" t="s">
        <v>132</v>
      </c>
      <c r="K66" s="67" t="s">
        <v>132</v>
      </c>
      <c r="L66" s="67">
        <v>8.6941989407272494E-5</v>
      </c>
      <c r="M66" s="67">
        <v>2.8980663135757502E-5</v>
      </c>
      <c r="N66" s="67" t="s">
        <v>132</v>
      </c>
      <c r="O66" s="67" t="s">
        <v>132</v>
      </c>
      <c r="P66" s="56" t="s">
        <v>132</v>
      </c>
      <c r="Q66" s="58">
        <v>1.255828735882825E-4</v>
      </c>
    </row>
    <row r="67" spans="1:17" x14ac:dyDescent="0.2">
      <c r="A67" s="48" t="s">
        <v>15</v>
      </c>
      <c r="B67" s="54" t="s">
        <v>132</v>
      </c>
      <c r="C67" s="66" t="s">
        <v>132</v>
      </c>
      <c r="D67" s="66" t="s">
        <v>132</v>
      </c>
      <c r="E67" s="66" t="s">
        <v>132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>
        <v>4.8301105226262501E-5</v>
      </c>
      <c r="K67" s="66" t="s">
        <v>132</v>
      </c>
      <c r="L67" s="66">
        <v>1.90306354591474E-3</v>
      </c>
      <c r="M67" s="66">
        <v>3.57428178674342E-4</v>
      </c>
      <c r="N67" s="66" t="s">
        <v>132</v>
      </c>
      <c r="O67" s="66" t="s">
        <v>132</v>
      </c>
      <c r="P67" s="55">
        <v>5.7961326271515003E-5</v>
      </c>
      <c r="Q67" s="59">
        <v>2.3667541560868596E-3</v>
      </c>
    </row>
    <row r="68" spans="1:17" x14ac:dyDescent="0.2">
      <c r="A68" s="49" t="s">
        <v>16</v>
      </c>
      <c r="B68" s="53" t="s">
        <v>132</v>
      </c>
      <c r="C68" s="67" t="s">
        <v>132</v>
      </c>
      <c r="D68" s="67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>
        <v>9.6602210452524898E-6</v>
      </c>
      <c r="M68" s="67" t="s">
        <v>132</v>
      </c>
      <c r="N68" s="67" t="s">
        <v>132</v>
      </c>
      <c r="O68" s="67" t="s">
        <v>132</v>
      </c>
      <c r="P68" s="56" t="s">
        <v>132</v>
      </c>
      <c r="Q68" s="58">
        <v>9.6602210452524898E-6</v>
      </c>
    </row>
    <row r="69" spans="1:17" x14ac:dyDescent="0.2">
      <c r="A69" s="48" t="s">
        <v>17</v>
      </c>
      <c r="B69" s="54" t="s">
        <v>132</v>
      </c>
      <c r="C69" s="66" t="s">
        <v>132</v>
      </c>
      <c r="D69" s="66" t="s">
        <v>132</v>
      </c>
      <c r="E69" s="66">
        <v>9.17720999298987E-4</v>
      </c>
      <c r="F69" s="66" t="s">
        <v>132</v>
      </c>
      <c r="G69" s="66" t="s">
        <v>132</v>
      </c>
      <c r="H69" s="66" t="s">
        <v>132</v>
      </c>
      <c r="I69" s="66" t="s">
        <v>132</v>
      </c>
      <c r="J69" s="66">
        <v>2.8980663135757502E-5</v>
      </c>
      <c r="K69" s="66">
        <v>9.6602210452524898E-6</v>
      </c>
      <c r="L69" s="66">
        <v>5.3131215748888699E-4</v>
      </c>
      <c r="M69" s="66">
        <v>6.7621547316767505E-5</v>
      </c>
      <c r="N69" s="66" t="s">
        <v>132</v>
      </c>
      <c r="O69" s="66" t="s">
        <v>132</v>
      </c>
      <c r="P69" s="55" t="s">
        <v>132</v>
      </c>
      <c r="Q69" s="59">
        <v>1.5552955882856517E-3</v>
      </c>
    </row>
    <row r="70" spans="1:17" x14ac:dyDescent="0.2">
      <c r="A70" s="49" t="s">
        <v>89</v>
      </c>
      <c r="B70" s="53" t="s">
        <v>132</v>
      </c>
      <c r="C70" s="67" t="s">
        <v>132</v>
      </c>
      <c r="D70" s="67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56" t="s">
        <v>132</v>
      </c>
      <c r="Q70" s="58" t="s">
        <v>132</v>
      </c>
    </row>
    <row r="71" spans="1:17" x14ac:dyDescent="0.2">
      <c r="A71" s="48" t="s">
        <v>79</v>
      </c>
      <c r="B71" s="54" t="s">
        <v>132</v>
      </c>
      <c r="C71" s="66" t="s">
        <v>132</v>
      </c>
      <c r="D71" s="66" t="s">
        <v>132</v>
      </c>
      <c r="E71" s="66">
        <v>1.9127237669599899E-3</v>
      </c>
      <c r="F71" s="66" t="s">
        <v>132</v>
      </c>
      <c r="G71" s="66" t="s">
        <v>132</v>
      </c>
      <c r="H71" s="66" t="s">
        <v>132</v>
      </c>
      <c r="I71" s="66" t="s">
        <v>132</v>
      </c>
      <c r="J71" s="66" t="s">
        <v>132</v>
      </c>
      <c r="K71" s="66">
        <v>5.7961326271515003E-5</v>
      </c>
      <c r="L71" s="66" t="s">
        <v>132</v>
      </c>
      <c r="M71" s="66" t="s">
        <v>132</v>
      </c>
      <c r="N71" s="66" t="s">
        <v>132</v>
      </c>
      <c r="O71" s="66" t="s">
        <v>132</v>
      </c>
      <c r="P71" s="55" t="s">
        <v>132</v>
      </c>
      <c r="Q71" s="59">
        <v>1.9706850932315048E-3</v>
      </c>
    </row>
    <row r="72" spans="1:17" x14ac:dyDescent="0.2">
      <c r="A72" s="49" t="s">
        <v>80</v>
      </c>
      <c r="B72" s="53" t="s">
        <v>132</v>
      </c>
      <c r="C72" s="67" t="s">
        <v>132</v>
      </c>
      <c r="D72" s="67" t="s">
        <v>132</v>
      </c>
      <c r="E72" s="67" t="s">
        <v>132</v>
      </c>
      <c r="F72" s="67" t="s">
        <v>132</v>
      </c>
      <c r="G72" s="67" t="s">
        <v>132</v>
      </c>
      <c r="H72" s="67" t="s">
        <v>132</v>
      </c>
      <c r="I72" s="67" t="s">
        <v>132</v>
      </c>
      <c r="J72" s="67" t="s">
        <v>132</v>
      </c>
      <c r="K72" s="67" t="s">
        <v>132</v>
      </c>
      <c r="L72" s="67">
        <v>5.7961326271515003E-5</v>
      </c>
      <c r="M72" s="67">
        <v>6.7621547316767505E-4</v>
      </c>
      <c r="N72" s="67" t="s">
        <v>132</v>
      </c>
      <c r="O72" s="67" t="s">
        <v>132</v>
      </c>
      <c r="P72" s="56">
        <v>1.1959353654022601E-3</v>
      </c>
      <c r="Q72" s="58">
        <v>1.9301121648414503E-3</v>
      </c>
    </row>
    <row r="73" spans="1:17" x14ac:dyDescent="0.2">
      <c r="A73" s="48" t="s">
        <v>18</v>
      </c>
      <c r="B73" s="54" t="s">
        <v>132</v>
      </c>
      <c r="C73" s="66" t="s">
        <v>132</v>
      </c>
      <c r="D73" s="66" t="s">
        <v>132</v>
      </c>
      <c r="E73" s="66" t="s">
        <v>132</v>
      </c>
      <c r="F73" s="66" t="s">
        <v>132</v>
      </c>
      <c r="G73" s="66" t="s">
        <v>132</v>
      </c>
      <c r="H73" s="66" t="s">
        <v>132</v>
      </c>
      <c r="I73" s="66" t="s">
        <v>132</v>
      </c>
      <c r="J73" s="66" t="s">
        <v>132</v>
      </c>
      <c r="K73" s="66" t="s">
        <v>132</v>
      </c>
      <c r="L73" s="66" t="s">
        <v>132</v>
      </c>
      <c r="M73" s="66" t="s">
        <v>132</v>
      </c>
      <c r="N73" s="66" t="s">
        <v>132</v>
      </c>
      <c r="O73" s="66" t="s">
        <v>132</v>
      </c>
      <c r="P73" s="55" t="s">
        <v>132</v>
      </c>
      <c r="Q73" s="59" t="s">
        <v>132</v>
      </c>
    </row>
    <row r="74" spans="1:17" x14ac:dyDescent="0.2">
      <c r="A74" s="49" t="s">
        <v>78</v>
      </c>
      <c r="B74" s="53" t="s">
        <v>132</v>
      </c>
      <c r="C74" s="67" t="s">
        <v>132</v>
      </c>
      <c r="D74" s="67" t="s">
        <v>132</v>
      </c>
      <c r="E74" s="67">
        <v>7.7281768362019905E-5</v>
      </c>
      <c r="F74" s="67" t="s">
        <v>132</v>
      </c>
      <c r="G74" s="67" t="s">
        <v>132</v>
      </c>
      <c r="H74" s="67" t="s">
        <v>132</v>
      </c>
      <c r="I74" s="67" t="s">
        <v>132</v>
      </c>
      <c r="J74" s="67" t="s">
        <v>132</v>
      </c>
      <c r="K74" s="67" t="s">
        <v>132</v>
      </c>
      <c r="L74" s="67">
        <v>9.6602210452524898E-6</v>
      </c>
      <c r="M74" s="67" t="s">
        <v>132</v>
      </c>
      <c r="N74" s="67" t="s">
        <v>132</v>
      </c>
      <c r="O74" s="67" t="s">
        <v>132</v>
      </c>
      <c r="P74" s="56" t="s">
        <v>132</v>
      </c>
      <c r="Q74" s="58">
        <v>8.69419894072724E-5</v>
      </c>
    </row>
    <row r="75" spans="1:17" x14ac:dyDescent="0.2">
      <c r="A75" s="48" t="s">
        <v>33</v>
      </c>
      <c r="B75" s="54">
        <v>5.09093649084806E-3</v>
      </c>
      <c r="C75" s="66">
        <v>2.3010646529791401E-2</v>
      </c>
      <c r="D75" s="66" t="s">
        <v>132</v>
      </c>
      <c r="E75" s="66">
        <v>2.2324770835578499E-2</v>
      </c>
      <c r="F75" s="66" t="s">
        <v>132</v>
      </c>
      <c r="G75" s="66">
        <v>2.6952016716254501E-3</v>
      </c>
      <c r="H75" s="66">
        <v>2.62661410220415E-2</v>
      </c>
      <c r="I75" s="66">
        <v>2.20736050884019E-2</v>
      </c>
      <c r="J75" s="66">
        <v>1.3137900621543401E-3</v>
      </c>
      <c r="K75" s="66">
        <v>3.6708839971959499E-4</v>
      </c>
      <c r="L75" s="66">
        <v>5.4387044484771503E-2</v>
      </c>
      <c r="M75" s="66">
        <v>1.75816023023595E-3</v>
      </c>
      <c r="N75" s="66" t="s">
        <v>132</v>
      </c>
      <c r="O75" s="66" t="s">
        <v>132</v>
      </c>
      <c r="P75" s="55" t="s">
        <v>132</v>
      </c>
      <c r="Q75" s="59">
        <v>0.15928738481516821</v>
      </c>
    </row>
    <row r="76" spans="1:17" x14ac:dyDescent="0.2">
      <c r="A76" s="49" t="s">
        <v>34</v>
      </c>
      <c r="B76" s="53">
        <v>3.26515471329534E-3</v>
      </c>
      <c r="C76" s="67">
        <v>2.0122240437260901E-2</v>
      </c>
      <c r="D76" s="67">
        <v>2.8014641031232199E-4</v>
      </c>
      <c r="E76" s="67" t="s">
        <v>132</v>
      </c>
      <c r="F76" s="67" t="s">
        <v>132</v>
      </c>
      <c r="G76" s="67" t="s">
        <v>132</v>
      </c>
      <c r="H76" s="67">
        <v>4.2232554365634903E-2</v>
      </c>
      <c r="I76" s="67" t="s">
        <v>132</v>
      </c>
      <c r="J76" s="67" t="s">
        <v>132</v>
      </c>
      <c r="K76" s="67" t="s">
        <v>132</v>
      </c>
      <c r="L76" s="67">
        <v>6.7621547316767505E-4</v>
      </c>
      <c r="M76" s="67" t="s">
        <v>132</v>
      </c>
      <c r="N76" s="67" t="s">
        <v>132</v>
      </c>
      <c r="O76" s="67" t="s">
        <v>132</v>
      </c>
      <c r="P76" s="56" t="s">
        <v>132</v>
      </c>
      <c r="Q76" s="58">
        <v>6.6576311399671143E-2</v>
      </c>
    </row>
    <row r="77" spans="1:17" x14ac:dyDescent="0.2">
      <c r="A77" s="48" t="s">
        <v>35</v>
      </c>
      <c r="B77" s="54">
        <v>1.6692861966196299E-3</v>
      </c>
      <c r="C77" s="66">
        <v>2.7232163126566799E-2</v>
      </c>
      <c r="D77" s="66" t="s">
        <v>132</v>
      </c>
      <c r="E77" s="66">
        <v>8.9840055720848198E-4</v>
      </c>
      <c r="F77" s="66" t="s">
        <v>132</v>
      </c>
      <c r="G77" s="66" t="s">
        <v>132</v>
      </c>
      <c r="H77" s="66">
        <v>3.7674862076484702E-4</v>
      </c>
      <c r="I77" s="66">
        <v>1.4297127146973699E-3</v>
      </c>
      <c r="J77" s="66" t="s">
        <v>132</v>
      </c>
      <c r="K77" s="66" t="s">
        <v>132</v>
      </c>
      <c r="L77" s="66">
        <v>1.4297127146973699E-3</v>
      </c>
      <c r="M77" s="66">
        <v>2.3184530508606001E-4</v>
      </c>
      <c r="N77" s="66" t="s">
        <v>132</v>
      </c>
      <c r="O77" s="66" t="s">
        <v>132</v>
      </c>
      <c r="P77" s="55" t="s">
        <v>132</v>
      </c>
      <c r="Q77" s="59">
        <v>3.3267869235640554E-2</v>
      </c>
    </row>
    <row r="78" spans="1:17" x14ac:dyDescent="0.2">
      <c r="A78" s="49" t="s">
        <v>36</v>
      </c>
      <c r="B78" s="53">
        <v>1.8354419985979701E-4</v>
      </c>
      <c r="C78" s="67">
        <v>6.3757458898666501E-4</v>
      </c>
      <c r="D78" s="67" t="s">
        <v>132</v>
      </c>
      <c r="E78" s="67" t="s">
        <v>132</v>
      </c>
      <c r="F78" s="67" t="s">
        <v>132</v>
      </c>
      <c r="G78" s="67" t="s">
        <v>132</v>
      </c>
      <c r="H78" s="67">
        <v>8.6941989407272402E-4</v>
      </c>
      <c r="I78" s="67">
        <v>1.50699448305939E-3</v>
      </c>
      <c r="J78" s="67" t="s">
        <v>132</v>
      </c>
      <c r="K78" s="67" t="s">
        <v>132</v>
      </c>
      <c r="L78" s="67" t="s">
        <v>132</v>
      </c>
      <c r="M78" s="67">
        <v>1.5456353672404E-4</v>
      </c>
      <c r="N78" s="67" t="s">
        <v>132</v>
      </c>
      <c r="O78" s="67" t="s">
        <v>132</v>
      </c>
      <c r="P78" s="56" t="s">
        <v>132</v>
      </c>
      <c r="Q78" s="58">
        <v>3.3520967027026163E-3</v>
      </c>
    </row>
    <row r="79" spans="1:17" x14ac:dyDescent="0.2">
      <c r="A79" s="48" t="s">
        <v>6</v>
      </c>
      <c r="B79" s="54">
        <v>6.2984641215046303E-3</v>
      </c>
      <c r="C79" s="66">
        <v>3.1299116186618101E-3</v>
      </c>
      <c r="D79" s="66">
        <v>1.9320442090505E-5</v>
      </c>
      <c r="E79" s="66">
        <v>2.4150552613131202E-3</v>
      </c>
      <c r="F79" s="66">
        <v>1.6422375776929199E-4</v>
      </c>
      <c r="G79" s="66">
        <v>4.3470994703636201E-4</v>
      </c>
      <c r="H79" s="66" t="s">
        <v>132</v>
      </c>
      <c r="I79" s="66">
        <v>9.6602210452524898E-6</v>
      </c>
      <c r="J79" s="66">
        <v>4.0572928390060497E-4</v>
      </c>
      <c r="K79" s="66">
        <v>1.44903315678787E-4</v>
      </c>
      <c r="L79" s="66">
        <v>5.3131215748888699E-4</v>
      </c>
      <c r="M79" s="66">
        <v>4.37608013349938E-3</v>
      </c>
      <c r="N79" s="66" t="s">
        <v>132</v>
      </c>
      <c r="O79" s="66" t="s">
        <v>132</v>
      </c>
      <c r="P79" s="55" t="s">
        <v>132</v>
      </c>
      <c r="Q79" s="59">
        <v>1.7929370259988631E-2</v>
      </c>
    </row>
    <row r="80" spans="1:17" ht="13.5" thickBot="1" x14ac:dyDescent="0.25">
      <c r="A80" s="49" t="s">
        <v>37</v>
      </c>
      <c r="B80" s="53" t="s">
        <v>132</v>
      </c>
      <c r="C80" s="67">
        <v>7.728176836202E-5</v>
      </c>
      <c r="D80" s="67" t="s">
        <v>132</v>
      </c>
      <c r="E80" s="67">
        <v>5.4097237853414004E-4</v>
      </c>
      <c r="F80" s="67">
        <v>1.3524309463353501E-4</v>
      </c>
      <c r="G80" s="67">
        <v>4.8301105226262499E-4</v>
      </c>
      <c r="H80" s="67" t="s">
        <v>132</v>
      </c>
      <c r="I80" s="67" t="s">
        <v>132</v>
      </c>
      <c r="J80" s="67">
        <v>1.16888674647555E-3</v>
      </c>
      <c r="K80" s="67">
        <v>1.2944696200638301E-3</v>
      </c>
      <c r="L80" s="67">
        <v>5.5971320736193E-2</v>
      </c>
      <c r="M80" s="67">
        <v>2.9560276398472602E-3</v>
      </c>
      <c r="N80" s="67" t="s">
        <v>132</v>
      </c>
      <c r="O80" s="67" t="s">
        <v>132</v>
      </c>
      <c r="P80" s="56" t="s">
        <v>132</v>
      </c>
      <c r="Q80" s="58">
        <v>6.2627213036371962E-2</v>
      </c>
    </row>
    <row r="81" spans="1:17" ht="14.25" thickTop="1" thickBot="1" x14ac:dyDescent="0.25">
      <c r="A81" s="60" t="s">
        <v>0</v>
      </c>
      <c r="B81" s="61">
        <v>3.773861953538344E-2</v>
      </c>
      <c r="C81" s="62">
        <v>7.4229138511720111E-2</v>
      </c>
      <c r="D81" s="62">
        <v>2.5589925548873849E-2</v>
      </c>
      <c r="E81" s="62">
        <v>4.7383384226963511E-2</v>
      </c>
      <c r="F81" s="62">
        <v>9.1540254624812648E-3</v>
      </c>
      <c r="G81" s="62">
        <v>5.9023950586492733E-3</v>
      </c>
      <c r="H81" s="62">
        <v>6.9773844565649737E-2</v>
      </c>
      <c r="I81" s="62">
        <v>2.5705848201416838E-2</v>
      </c>
      <c r="J81" s="62">
        <v>3.6216168698651581E-2</v>
      </c>
      <c r="K81" s="62">
        <v>1.9571607837681578E-2</v>
      </c>
      <c r="L81" s="62">
        <v>0.14250758085956483</v>
      </c>
      <c r="M81" s="62">
        <v>6.0940538441870779E-2</v>
      </c>
      <c r="N81" s="62" t="s">
        <v>132</v>
      </c>
      <c r="O81" s="62">
        <v>5.7961326271515003E-5</v>
      </c>
      <c r="P81" s="63">
        <v>2.3358414487420552E-3</v>
      </c>
      <c r="Q81" s="64">
        <v>0.55710687972392037</v>
      </c>
    </row>
    <row r="84" spans="1:17" ht="15" x14ac:dyDescent="0.25">
      <c r="A84" s="109" t="s">
        <v>130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</row>
    <row r="85" spans="1:17" x14ac:dyDescent="0.2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1:17" ht="13.5" thickBot="1" x14ac:dyDescent="0.25">
      <c r="A86" s="31" t="s">
        <v>133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1:17" ht="39" thickBot="1" x14ac:dyDescent="0.25">
      <c r="A87" s="51" t="s">
        <v>88</v>
      </c>
      <c r="B87" s="52" t="s">
        <v>38</v>
      </c>
      <c r="C87" s="68" t="s">
        <v>39</v>
      </c>
      <c r="D87" s="68" t="s">
        <v>40</v>
      </c>
      <c r="E87" s="68" t="s">
        <v>41</v>
      </c>
      <c r="F87" s="68" t="s">
        <v>42</v>
      </c>
      <c r="G87" s="68" t="s">
        <v>43</v>
      </c>
      <c r="H87" s="68" t="s">
        <v>44</v>
      </c>
      <c r="I87" s="68" t="s">
        <v>45</v>
      </c>
      <c r="J87" s="68" t="s">
        <v>64</v>
      </c>
      <c r="K87" s="68" t="s">
        <v>46</v>
      </c>
      <c r="L87" s="68" t="s">
        <v>7</v>
      </c>
      <c r="M87" s="68" t="s">
        <v>76</v>
      </c>
      <c r="N87" s="68" t="s">
        <v>47</v>
      </c>
      <c r="O87" s="68" t="s">
        <v>48</v>
      </c>
      <c r="P87" s="57" t="s">
        <v>49</v>
      </c>
      <c r="Q87" s="50" t="s">
        <v>0</v>
      </c>
    </row>
    <row r="88" spans="1:17" x14ac:dyDescent="0.2">
      <c r="A88" s="49" t="s">
        <v>8</v>
      </c>
      <c r="B88" s="53" t="s">
        <v>132</v>
      </c>
      <c r="C88" s="67" t="s">
        <v>132</v>
      </c>
      <c r="D88" s="67" t="s">
        <v>132</v>
      </c>
      <c r="E88" s="67">
        <v>4.8011369092200998E-4</v>
      </c>
      <c r="F88" s="67" t="s">
        <v>132</v>
      </c>
      <c r="G88" s="67" t="s">
        <v>132</v>
      </c>
      <c r="H88" s="67" t="s">
        <v>132</v>
      </c>
      <c r="I88" s="67" t="s">
        <v>132</v>
      </c>
      <c r="J88" s="67">
        <v>1.7476138349561199E-3</v>
      </c>
      <c r="K88" s="67">
        <v>3.2647730982696702E-4</v>
      </c>
      <c r="L88" s="67">
        <v>7.6818190547521699E-5</v>
      </c>
      <c r="M88" s="67" t="s">
        <v>132</v>
      </c>
      <c r="N88" s="67" t="s">
        <v>132</v>
      </c>
      <c r="O88" s="67" t="s">
        <v>132</v>
      </c>
      <c r="P88" s="56" t="s">
        <v>132</v>
      </c>
      <c r="Q88" s="58">
        <v>2.6310230262526183E-3</v>
      </c>
    </row>
    <row r="89" spans="1:17" x14ac:dyDescent="0.2">
      <c r="A89" s="48" t="s">
        <v>9</v>
      </c>
      <c r="B89" s="54">
        <v>1.92045476368804E-4</v>
      </c>
      <c r="C89" s="66" t="s">
        <v>132</v>
      </c>
      <c r="D89" s="66">
        <v>4.6090914328512998E-4</v>
      </c>
      <c r="E89" s="66">
        <v>7.6818190547521699E-5</v>
      </c>
      <c r="F89" s="66">
        <v>9.6022738184402097E-5</v>
      </c>
      <c r="G89" s="66" t="s">
        <v>132</v>
      </c>
      <c r="H89" s="66" t="s">
        <v>132</v>
      </c>
      <c r="I89" s="66" t="s">
        <v>132</v>
      </c>
      <c r="J89" s="66" t="s">
        <v>132</v>
      </c>
      <c r="K89" s="66">
        <v>2.4965911927944499E-4</v>
      </c>
      <c r="L89" s="66">
        <v>1.5363638109504299E-4</v>
      </c>
      <c r="M89" s="66">
        <v>4.0329550037448899E-4</v>
      </c>
      <c r="N89" s="66" t="s">
        <v>132</v>
      </c>
      <c r="O89" s="66" t="s">
        <v>132</v>
      </c>
      <c r="P89" s="55" t="s">
        <v>132</v>
      </c>
      <c r="Q89" s="59">
        <v>1.6323865491348348E-3</v>
      </c>
    </row>
    <row r="90" spans="1:17" x14ac:dyDescent="0.2">
      <c r="A90" s="49" t="s">
        <v>10</v>
      </c>
      <c r="B90" s="53" t="s">
        <v>132</v>
      </c>
      <c r="C90" s="67" t="s">
        <v>132</v>
      </c>
      <c r="D90" s="67" t="s">
        <v>132</v>
      </c>
      <c r="E90" s="67" t="s">
        <v>132</v>
      </c>
      <c r="F90" s="67" t="s">
        <v>132</v>
      </c>
      <c r="G90" s="67" t="s">
        <v>132</v>
      </c>
      <c r="H90" s="67" t="s">
        <v>132</v>
      </c>
      <c r="I90" s="67" t="s">
        <v>132</v>
      </c>
      <c r="J90" s="67" t="s">
        <v>132</v>
      </c>
      <c r="K90" s="67">
        <v>1.9204547636880401E-5</v>
      </c>
      <c r="L90" s="67" t="s">
        <v>132</v>
      </c>
      <c r="M90" s="67" t="s">
        <v>132</v>
      </c>
      <c r="N90" s="67" t="s">
        <v>132</v>
      </c>
      <c r="O90" s="67" t="s">
        <v>132</v>
      </c>
      <c r="P90" s="56" t="s">
        <v>132</v>
      </c>
      <c r="Q90" s="58">
        <v>1.9204547636880401E-5</v>
      </c>
    </row>
    <row r="91" spans="1:17" x14ac:dyDescent="0.2">
      <c r="A91" s="48" t="s">
        <v>11</v>
      </c>
      <c r="B91" s="54" t="s">
        <v>132</v>
      </c>
      <c r="C91" s="66" t="s">
        <v>132</v>
      </c>
      <c r="D91" s="66">
        <v>1.1522728582128201E-4</v>
      </c>
      <c r="E91" s="66">
        <v>3.8409095273760802E-5</v>
      </c>
      <c r="F91" s="66" t="s">
        <v>132</v>
      </c>
      <c r="G91" s="66" t="s">
        <v>132</v>
      </c>
      <c r="H91" s="66" t="s">
        <v>132</v>
      </c>
      <c r="I91" s="66" t="s">
        <v>132</v>
      </c>
      <c r="J91" s="66">
        <v>1.5363638109504299E-4</v>
      </c>
      <c r="K91" s="66">
        <v>1.9204547636880401E-5</v>
      </c>
      <c r="L91" s="66" t="s">
        <v>132</v>
      </c>
      <c r="M91" s="66" t="s">
        <v>132</v>
      </c>
      <c r="N91" s="66" t="s">
        <v>132</v>
      </c>
      <c r="O91" s="66" t="s">
        <v>132</v>
      </c>
      <c r="P91" s="55" t="s">
        <v>132</v>
      </c>
      <c r="Q91" s="59">
        <v>3.264773098269662E-4</v>
      </c>
    </row>
    <row r="92" spans="1:17" x14ac:dyDescent="0.2">
      <c r="A92" s="49" t="s">
        <v>12</v>
      </c>
      <c r="B92" s="53" t="s">
        <v>132</v>
      </c>
      <c r="C92" s="67" t="s">
        <v>132</v>
      </c>
      <c r="D92" s="67" t="s">
        <v>132</v>
      </c>
      <c r="E92" s="67" t="s">
        <v>132</v>
      </c>
      <c r="F92" s="67" t="s">
        <v>132</v>
      </c>
      <c r="G92" s="67" t="s">
        <v>132</v>
      </c>
      <c r="H92" s="67" t="s">
        <v>132</v>
      </c>
      <c r="I92" s="67" t="s">
        <v>132</v>
      </c>
      <c r="J92" s="67">
        <v>2.1125002400568501E-4</v>
      </c>
      <c r="K92" s="67" t="s">
        <v>132</v>
      </c>
      <c r="L92" s="67" t="s">
        <v>132</v>
      </c>
      <c r="M92" s="67">
        <v>1.92045476368804E-4</v>
      </c>
      <c r="N92" s="67" t="s">
        <v>132</v>
      </c>
      <c r="O92" s="67" t="s">
        <v>132</v>
      </c>
      <c r="P92" s="56" t="s">
        <v>132</v>
      </c>
      <c r="Q92" s="58">
        <v>4.0329550037448904E-4</v>
      </c>
    </row>
    <row r="93" spans="1:17" x14ac:dyDescent="0.2">
      <c r="A93" s="48" t="s">
        <v>13</v>
      </c>
      <c r="B93" s="54" t="s">
        <v>132</v>
      </c>
      <c r="C93" s="66" t="s">
        <v>132</v>
      </c>
      <c r="D93" s="66" t="s">
        <v>132</v>
      </c>
      <c r="E93" s="66" t="s">
        <v>132</v>
      </c>
      <c r="F93" s="66" t="s">
        <v>132</v>
      </c>
      <c r="G93" s="66" t="s">
        <v>132</v>
      </c>
      <c r="H93" s="66" t="s">
        <v>132</v>
      </c>
      <c r="I93" s="66" t="s">
        <v>132</v>
      </c>
      <c r="J93" s="66" t="s">
        <v>132</v>
      </c>
      <c r="K93" s="66" t="s">
        <v>132</v>
      </c>
      <c r="L93" s="66" t="s">
        <v>132</v>
      </c>
      <c r="M93" s="66" t="s">
        <v>132</v>
      </c>
      <c r="N93" s="66" t="s">
        <v>132</v>
      </c>
      <c r="O93" s="66" t="s">
        <v>132</v>
      </c>
      <c r="P93" s="55" t="s">
        <v>132</v>
      </c>
      <c r="Q93" s="59" t="s">
        <v>132</v>
      </c>
    </row>
    <row r="94" spans="1:17" x14ac:dyDescent="0.2">
      <c r="A94" s="49" t="s">
        <v>14</v>
      </c>
      <c r="B94" s="53" t="s">
        <v>132</v>
      </c>
      <c r="C94" s="67" t="s">
        <v>132</v>
      </c>
      <c r="D94" s="67" t="s">
        <v>132</v>
      </c>
      <c r="E94" s="67" t="s">
        <v>132</v>
      </c>
      <c r="F94" s="67" t="s">
        <v>132</v>
      </c>
      <c r="G94" s="67" t="s">
        <v>132</v>
      </c>
      <c r="H94" s="67" t="s">
        <v>132</v>
      </c>
      <c r="I94" s="67" t="s">
        <v>132</v>
      </c>
      <c r="J94" s="67" t="s">
        <v>132</v>
      </c>
      <c r="K94" s="67" t="s">
        <v>132</v>
      </c>
      <c r="L94" s="67" t="s">
        <v>132</v>
      </c>
      <c r="M94" s="67" t="s">
        <v>132</v>
      </c>
      <c r="N94" s="67" t="s">
        <v>132</v>
      </c>
      <c r="O94" s="67" t="s">
        <v>132</v>
      </c>
      <c r="P94" s="56" t="s">
        <v>132</v>
      </c>
      <c r="Q94" s="58" t="s">
        <v>132</v>
      </c>
    </row>
    <row r="95" spans="1:17" x14ac:dyDescent="0.2">
      <c r="A95" s="48" t="s">
        <v>15</v>
      </c>
      <c r="B95" s="54" t="s">
        <v>132</v>
      </c>
      <c r="C95" s="66" t="s">
        <v>132</v>
      </c>
      <c r="D95" s="66" t="s">
        <v>132</v>
      </c>
      <c r="E95" s="66" t="s">
        <v>132</v>
      </c>
      <c r="F95" s="66" t="s">
        <v>132</v>
      </c>
      <c r="G95" s="66" t="s">
        <v>132</v>
      </c>
      <c r="H95" s="66" t="s">
        <v>132</v>
      </c>
      <c r="I95" s="66" t="s">
        <v>132</v>
      </c>
      <c r="J95" s="66" t="s">
        <v>132</v>
      </c>
      <c r="K95" s="66" t="s">
        <v>132</v>
      </c>
      <c r="L95" s="66">
        <v>7.6818190547521699E-5</v>
      </c>
      <c r="M95" s="66" t="s">
        <v>132</v>
      </c>
      <c r="N95" s="66" t="s">
        <v>132</v>
      </c>
      <c r="O95" s="66" t="s">
        <v>132</v>
      </c>
      <c r="P95" s="55" t="s">
        <v>132</v>
      </c>
      <c r="Q95" s="59">
        <v>7.6818190547521699E-5</v>
      </c>
    </row>
    <row r="96" spans="1:17" x14ac:dyDescent="0.2">
      <c r="A96" s="49" t="s">
        <v>16</v>
      </c>
      <c r="B96" s="53" t="s">
        <v>132</v>
      </c>
      <c r="C96" s="67" t="s">
        <v>132</v>
      </c>
      <c r="D96" s="67" t="s">
        <v>132</v>
      </c>
      <c r="E96" s="67" t="s">
        <v>132</v>
      </c>
      <c r="F96" s="67" t="s">
        <v>132</v>
      </c>
      <c r="G96" s="67" t="s">
        <v>132</v>
      </c>
      <c r="H96" s="67" t="s">
        <v>132</v>
      </c>
      <c r="I96" s="67" t="s">
        <v>132</v>
      </c>
      <c r="J96" s="67" t="s">
        <v>132</v>
      </c>
      <c r="K96" s="67" t="s">
        <v>132</v>
      </c>
      <c r="L96" s="67" t="s">
        <v>132</v>
      </c>
      <c r="M96" s="67" t="s">
        <v>132</v>
      </c>
      <c r="N96" s="67" t="s">
        <v>132</v>
      </c>
      <c r="O96" s="67" t="s">
        <v>132</v>
      </c>
      <c r="P96" s="56" t="s">
        <v>132</v>
      </c>
      <c r="Q96" s="58" t="s">
        <v>132</v>
      </c>
    </row>
    <row r="97" spans="1:17" x14ac:dyDescent="0.2">
      <c r="A97" s="48" t="s">
        <v>17</v>
      </c>
      <c r="B97" s="54" t="s">
        <v>132</v>
      </c>
      <c r="C97" s="66" t="s">
        <v>132</v>
      </c>
      <c r="D97" s="66" t="s">
        <v>132</v>
      </c>
      <c r="E97" s="66" t="s">
        <v>132</v>
      </c>
      <c r="F97" s="66" t="s">
        <v>132</v>
      </c>
      <c r="G97" s="66" t="s">
        <v>132</v>
      </c>
      <c r="H97" s="66" t="s">
        <v>132</v>
      </c>
      <c r="I97" s="66" t="s">
        <v>132</v>
      </c>
      <c r="J97" s="66" t="s">
        <v>132</v>
      </c>
      <c r="K97" s="66" t="s">
        <v>132</v>
      </c>
      <c r="L97" s="66" t="s">
        <v>132</v>
      </c>
      <c r="M97" s="66" t="s">
        <v>132</v>
      </c>
      <c r="N97" s="66" t="s">
        <v>132</v>
      </c>
      <c r="O97" s="66" t="s">
        <v>132</v>
      </c>
      <c r="P97" s="55" t="s">
        <v>132</v>
      </c>
      <c r="Q97" s="59" t="s">
        <v>132</v>
      </c>
    </row>
    <row r="98" spans="1:17" x14ac:dyDescent="0.2">
      <c r="A98" s="49" t="s">
        <v>89</v>
      </c>
      <c r="B98" s="53" t="s">
        <v>132</v>
      </c>
      <c r="C98" s="67" t="s">
        <v>132</v>
      </c>
      <c r="D98" s="67" t="s">
        <v>132</v>
      </c>
      <c r="E98" s="67" t="s">
        <v>132</v>
      </c>
      <c r="F98" s="67" t="s">
        <v>132</v>
      </c>
      <c r="G98" s="67" t="s">
        <v>132</v>
      </c>
      <c r="H98" s="67" t="s">
        <v>132</v>
      </c>
      <c r="I98" s="67" t="s">
        <v>132</v>
      </c>
      <c r="J98" s="67" t="s">
        <v>132</v>
      </c>
      <c r="K98" s="67" t="s">
        <v>132</v>
      </c>
      <c r="L98" s="67" t="s">
        <v>132</v>
      </c>
      <c r="M98" s="67" t="s">
        <v>132</v>
      </c>
      <c r="N98" s="67" t="s">
        <v>132</v>
      </c>
      <c r="O98" s="67" t="s">
        <v>132</v>
      </c>
      <c r="P98" s="56" t="s">
        <v>132</v>
      </c>
      <c r="Q98" s="58" t="s">
        <v>132</v>
      </c>
    </row>
    <row r="99" spans="1:17" x14ac:dyDescent="0.2">
      <c r="A99" s="48" t="s">
        <v>79</v>
      </c>
      <c r="B99" s="54" t="s">
        <v>132</v>
      </c>
      <c r="C99" s="66" t="s">
        <v>132</v>
      </c>
      <c r="D99" s="66" t="s">
        <v>132</v>
      </c>
      <c r="E99" s="66" t="s">
        <v>132</v>
      </c>
      <c r="F99" s="66" t="s">
        <v>132</v>
      </c>
      <c r="G99" s="66" t="s">
        <v>132</v>
      </c>
      <c r="H99" s="66" t="s">
        <v>132</v>
      </c>
      <c r="I99" s="66" t="s">
        <v>132</v>
      </c>
      <c r="J99" s="66" t="s">
        <v>132</v>
      </c>
      <c r="K99" s="66" t="s">
        <v>132</v>
      </c>
      <c r="L99" s="66" t="s">
        <v>132</v>
      </c>
      <c r="M99" s="66" t="s">
        <v>132</v>
      </c>
      <c r="N99" s="66" t="s">
        <v>132</v>
      </c>
      <c r="O99" s="66" t="s">
        <v>132</v>
      </c>
      <c r="P99" s="55" t="s">
        <v>132</v>
      </c>
      <c r="Q99" s="59" t="s">
        <v>132</v>
      </c>
    </row>
    <row r="100" spans="1:17" x14ac:dyDescent="0.2">
      <c r="A100" s="49" t="s">
        <v>80</v>
      </c>
      <c r="B100" s="53" t="s">
        <v>132</v>
      </c>
      <c r="C100" s="67" t="s">
        <v>132</v>
      </c>
      <c r="D100" s="67" t="s">
        <v>132</v>
      </c>
      <c r="E100" s="67" t="s">
        <v>132</v>
      </c>
      <c r="F100" s="67" t="s">
        <v>132</v>
      </c>
      <c r="G100" s="67" t="s">
        <v>132</v>
      </c>
      <c r="H100" s="67" t="s">
        <v>132</v>
      </c>
      <c r="I100" s="67" t="s">
        <v>132</v>
      </c>
      <c r="J100" s="67" t="s">
        <v>132</v>
      </c>
      <c r="K100" s="67" t="s">
        <v>132</v>
      </c>
      <c r="L100" s="67" t="s">
        <v>132</v>
      </c>
      <c r="M100" s="67" t="s">
        <v>132</v>
      </c>
      <c r="N100" s="67" t="s">
        <v>132</v>
      </c>
      <c r="O100" s="67" t="s">
        <v>132</v>
      </c>
      <c r="P100" s="56" t="s">
        <v>132</v>
      </c>
      <c r="Q100" s="58" t="s">
        <v>132</v>
      </c>
    </row>
    <row r="101" spans="1:17" x14ac:dyDescent="0.2">
      <c r="A101" s="48" t="s">
        <v>18</v>
      </c>
      <c r="B101" s="54" t="s">
        <v>132</v>
      </c>
      <c r="C101" s="66" t="s">
        <v>132</v>
      </c>
      <c r="D101" s="66" t="s">
        <v>132</v>
      </c>
      <c r="E101" s="66" t="s">
        <v>132</v>
      </c>
      <c r="F101" s="66" t="s">
        <v>132</v>
      </c>
      <c r="G101" s="66" t="s">
        <v>132</v>
      </c>
      <c r="H101" s="66" t="s">
        <v>132</v>
      </c>
      <c r="I101" s="66" t="s">
        <v>132</v>
      </c>
      <c r="J101" s="66" t="s">
        <v>132</v>
      </c>
      <c r="K101" s="66" t="s">
        <v>132</v>
      </c>
      <c r="L101" s="66" t="s">
        <v>132</v>
      </c>
      <c r="M101" s="66" t="s">
        <v>132</v>
      </c>
      <c r="N101" s="66" t="s">
        <v>132</v>
      </c>
      <c r="O101" s="66" t="s">
        <v>132</v>
      </c>
      <c r="P101" s="55" t="s">
        <v>132</v>
      </c>
      <c r="Q101" s="59" t="s">
        <v>132</v>
      </c>
    </row>
    <row r="102" spans="1:17" x14ac:dyDescent="0.2">
      <c r="A102" s="49" t="s">
        <v>78</v>
      </c>
      <c r="B102" s="53" t="s">
        <v>132</v>
      </c>
      <c r="C102" s="67" t="s">
        <v>132</v>
      </c>
      <c r="D102" s="67" t="s">
        <v>132</v>
      </c>
      <c r="E102" s="67">
        <v>1.9204547636880401E-5</v>
      </c>
      <c r="F102" s="67" t="s">
        <v>132</v>
      </c>
      <c r="G102" s="67" t="s">
        <v>132</v>
      </c>
      <c r="H102" s="67" t="s">
        <v>132</v>
      </c>
      <c r="I102" s="67" t="s">
        <v>132</v>
      </c>
      <c r="J102" s="67" t="s">
        <v>132</v>
      </c>
      <c r="K102" s="67" t="s">
        <v>132</v>
      </c>
      <c r="L102" s="67" t="s">
        <v>132</v>
      </c>
      <c r="M102" s="67" t="s">
        <v>132</v>
      </c>
      <c r="N102" s="67" t="s">
        <v>132</v>
      </c>
      <c r="O102" s="67" t="s">
        <v>132</v>
      </c>
      <c r="P102" s="56" t="s">
        <v>132</v>
      </c>
      <c r="Q102" s="58">
        <v>1.9204547636880401E-5</v>
      </c>
    </row>
    <row r="103" spans="1:17" x14ac:dyDescent="0.2">
      <c r="A103" s="48" t="s">
        <v>33</v>
      </c>
      <c r="B103" s="54">
        <v>1.3443183345816299E-4</v>
      </c>
      <c r="C103" s="66" t="s">
        <v>132</v>
      </c>
      <c r="D103" s="66" t="s">
        <v>132</v>
      </c>
      <c r="E103" s="66">
        <v>2.1125002400568501E-4</v>
      </c>
      <c r="F103" s="66" t="s">
        <v>132</v>
      </c>
      <c r="G103" s="66" t="s">
        <v>132</v>
      </c>
      <c r="H103" s="66" t="s">
        <v>132</v>
      </c>
      <c r="I103" s="66" t="s">
        <v>132</v>
      </c>
      <c r="J103" s="66" t="s">
        <v>132</v>
      </c>
      <c r="K103" s="66" t="s">
        <v>132</v>
      </c>
      <c r="L103" s="66">
        <v>4.6090914328512998E-4</v>
      </c>
      <c r="M103" s="66" t="s">
        <v>132</v>
      </c>
      <c r="N103" s="66" t="s">
        <v>132</v>
      </c>
      <c r="O103" s="66" t="s">
        <v>132</v>
      </c>
      <c r="P103" s="55" t="s">
        <v>132</v>
      </c>
      <c r="Q103" s="59">
        <v>8.0659100074897798E-4</v>
      </c>
    </row>
    <row r="104" spans="1:17" x14ac:dyDescent="0.2">
      <c r="A104" s="49" t="s">
        <v>34</v>
      </c>
      <c r="B104" s="53" t="s">
        <v>132</v>
      </c>
      <c r="C104" s="67" t="s">
        <v>132</v>
      </c>
      <c r="D104" s="67" t="s">
        <v>132</v>
      </c>
      <c r="E104" s="67" t="s">
        <v>132</v>
      </c>
      <c r="F104" s="67" t="s">
        <v>132</v>
      </c>
      <c r="G104" s="67" t="s">
        <v>132</v>
      </c>
      <c r="H104" s="67" t="s">
        <v>132</v>
      </c>
      <c r="I104" s="67" t="s">
        <v>132</v>
      </c>
      <c r="J104" s="67" t="s">
        <v>132</v>
      </c>
      <c r="K104" s="67" t="s">
        <v>132</v>
      </c>
      <c r="L104" s="67" t="s">
        <v>132</v>
      </c>
      <c r="M104" s="67" t="s">
        <v>132</v>
      </c>
      <c r="N104" s="67" t="s">
        <v>132</v>
      </c>
      <c r="O104" s="67" t="s">
        <v>132</v>
      </c>
      <c r="P104" s="56" t="s">
        <v>132</v>
      </c>
      <c r="Q104" s="58" t="s">
        <v>132</v>
      </c>
    </row>
    <row r="105" spans="1:17" x14ac:dyDescent="0.2">
      <c r="A105" s="48" t="s">
        <v>35</v>
      </c>
      <c r="B105" s="54" t="s">
        <v>132</v>
      </c>
      <c r="C105" s="66">
        <v>1.72840928731924E-4</v>
      </c>
      <c r="D105" s="66" t="s">
        <v>132</v>
      </c>
      <c r="E105" s="66" t="s">
        <v>132</v>
      </c>
      <c r="F105" s="66" t="s">
        <v>132</v>
      </c>
      <c r="G105" s="66" t="s">
        <v>132</v>
      </c>
      <c r="H105" s="66">
        <v>4.8011369092200998E-4</v>
      </c>
      <c r="I105" s="66" t="s">
        <v>132</v>
      </c>
      <c r="J105" s="66" t="s">
        <v>132</v>
      </c>
      <c r="K105" s="66" t="s">
        <v>132</v>
      </c>
      <c r="L105" s="66" t="s">
        <v>132</v>
      </c>
      <c r="M105" s="66" t="s">
        <v>132</v>
      </c>
      <c r="N105" s="66" t="s">
        <v>132</v>
      </c>
      <c r="O105" s="66" t="s">
        <v>132</v>
      </c>
      <c r="P105" s="55" t="s">
        <v>132</v>
      </c>
      <c r="Q105" s="59">
        <v>6.5295461965393393E-4</v>
      </c>
    </row>
    <row r="106" spans="1:17" x14ac:dyDescent="0.2">
      <c r="A106" s="49" t="s">
        <v>36</v>
      </c>
      <c r="B106" s="53" t="s">
        <v>132</v>
      </c>
      <c r="C106" s="67" t="s">
        <v>132</v>
      </c>
      <c r="D106" s="67" t="s">
        <v>132</v>
      </c>
      <c r="E106" s="67" t="s">
        <v>132</v>
      </c>
      <c r="F106" s="67" t="s">
        <v>132</v>
      </c>
      <c r="G106" s="67" t="s">
        <v>132</v>
      </c>
      <c r="H106" s="67" t="s">
        <v>132</v>
      </c>
      <c r="I106" s="67" t="s">
        <v>132</v>
      </c>
      <c r="J106" s="67" t="s">
        <v>132</v>
      </c>
      <c r="K106" s="67" t="s">
        <v>132</v>
      </c>
      <c r="L106" s="67" t="s">
        <v>132</v>
      </c>
      <c r="M106" s="67" t="s">
        <v>132</v>
      </c>
      <c r="N106" s="67" t="s">
        <v>132</v>
      </c>
      <c r="O106" s="67" t="s">
        <v>132</v>
      </c>
      <c r="P106" s="56" t="s">
        <v>132</v>
      </c>
      <c r="Q106" s="58" t="s">
        <v>132</v>
      </c>
    </row>
    <row r="107" spans="1:17" x14ac:dyDescent="0.2">
      <c r="A107" s="48" t="s">
        <v>6</v>
      </c>
      <c r="B107" s="54">
        <v>5.7613642910641301E-5</v>
      </c>
      <c r="C107" s="66" t="s">
        <v>132</v>
      </c>
      <c r="D107" s="66" t="s">
        <v>132</v>
      </c>
      <c r="E107" s="66">
        <v>1.9204547636880401E-5</v>
      </c>
      <c r="F107" s="66" t="s">
        <v>132</v>
      </c>
      <c r="G107" s="66" t="s">
        <v>132</v>
      </c>
      <c r="H107" s="66" t="s">
        <v>132</v>
      </c>
      <c r="I107" s="66" t="s">
        <v>132</v>
      </c>
      <c r="J107" s="66" t="s">
        <v>132</v>
      </c>
      <c r="K107" s="66" t="s">
        <v>132</v>
      </c>
      <c r="L107" s="66" t="s">
        <v>132</v>
      </c>
      <c r="M107" s="66">
        <v>3.8409095273760802E-5</v>
      </c>
      <c r="N107" s="66" t="s">
        <v>132</v>
      </c>
      <c r="O107" s="66" t="s">
        <v>132</v>
      </c>
      <c r="P107" s="55" t="s">
        <v>132</v>
      </c>
      <c r="Q107" s="59">
        <v>1.1522728582128249E-4</v>
      </c>
    </row>
    <row r="108" spans="1:17" ht="13.5" thickBot="1" x14ac:dyDescent="0.25">
      <c r="A108" s="49" t="s">
        <v>37</v>
      </c>
      <c r="B108" s="53" t="s">
        <v>132</v>
      </c>
      <c r="C108" s="67" t="s">
        <v>132</v>
      </c>
      <c r="D108" s="67" t="s">
        <v>132</v>
      </c>
      <c r="E108" s="67" t="s">
        <v>132</v>
      </c>
      <c r="F108" s="67" t="s">
        <v>132</v>
      </c>
      <c r="G108" s="67" t="s">
        <v>132</v>
      </c>
      <c r="H108" s="67" t="s">
        <v>132</v>
      </c>
      <c r="I108" s="67" t="s">
        <v>132</v>
      </c>
      <c r="J108" s="67" t="s">
        <v>132</v>
      </c>
      <c r="K108" s="67">
        <v>1.5363638109504299E-4</v>
      </c>
      <c r="L108" s="67">
        <v>7.6818190547521699E-5</v>
      </c>
      <c r="M108" s="67" t="s">
        <v>132</v>
      </c>
      <c r="N108" s="67" t="s">
        <v>132</v>
      </c>
      <c r="O108" s="67" t="s">
        <v>132</v>
      </c>
      <c r="P108" s="56">
        <v>5.7613642910641301E-5</v>
      </c>
      <c r="Q108" s="58">
        <v>2.8806821455320598E-4</v>
      </c>
    </row>
    <row r="109" spans="1:17" ht="14.25" thickTop="1" thickBot="1" x14ac:dyDescent="0.25">
      <c r="A109" s="60" t="s">
        <v>0</v>
      </c>
      <c r="B109" s="61">
        <v>3.8409095273760828E-4</v>
      </c>
      <c r="C109" s="62">
        <v>1.72840928731924E-4</v>
      </c>
      <c r="D109" s="62">
        <v>5.7613642910641196E-4</v>
      </c>
      <c r="E109" s="62">
        <v>8.450000960227382E-4</v>
      </c>
      <c r="F109" s="62">
        <v>9.6022738184402097E-5</v>
      </c>
      <c r="G109" s="62" t="s">
        <v>132</v>
      </c>
      <c r="H109" s="62">
        <v>4.8011369092200998E-4</v>
      </c>
      <c r="I109" s="62" t="s">
        <v>132</v>
      </c>
      <c r="J109" s="62">
        <v>2.1125002400568479E-3</v>
      </c>
      <c r="K109" s="62">
        <v>7.6818190547521569E-4</v>
      </c>
      <c r="L109" s="62">
        <v>8.4500009602273799E-4</v>
      </c>
      <c r="M109" s="62">
        <v>6.3375007201705376E-4</v>
      </c>
      <c r="N109" s="62" t="s">
        <v>132</v>
      </c>
      <c r="O109" s="62" t="s">
        <v>132</v>
      </c>
      <c r="P109" s="63">
        <v>5.7613642910641301E-5</v>
      </c>
      <c r="Q109" s="64">
        <v>6.9712507921875907E-3</v>
      </c>
    </row>
  </sheetData>
  <mergeCells count="4">
    <mergeCell ref="A1:Q1"/>
    <mergeCell ref="A28:Q28"/>
    <mergeCell ref="A56:Q56"/>
    <mergeCell ref="A84:Q84"/>
  </mergeCells>
  <conditionalFormatting sqref="B5:Q25">
    <cfRule type="cellIs" dxfId="3" priority="1" operator="greaterThan">
      <formula>0</formula>
    </cfRule>
  </conditionalFormatting>
  <conditionalFormatting sqref="Q25">
    <cfRule type="cellIs" dxfId="2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82" orientation="landscape" r:id="rId1"/>
  <headerFooter>
    <oddFooter>&amp;L&amp;F&amp;C&amp;A&amp;R&amp;D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GridLines="0" zoomScaleNormal="100" workbookViewId="0">
      <selection activeCell="U55" sqref="A1:U1048576"/>
    </sheetView>
  </sheetViews>
  <sheetFormatPr defaultRowHeight="12.75" x14ac:dyDescent="0.2"/>
  <cols>
    <col min="1" max="1" width="38.28515625" style="21" bestFit="1" customWidth="1"/>
    <col min="2" max="2" width="23.140625" style="21" bestFit="1" customWidth="1"/>
    <col min="3" max="15" width="10.28515625" style="21" customWidth="1"/>
    <col min="16" max="16" width="11.42578125" style="21" customWidth="1"/>
    <col min="17" max="20" width="10.28515625" style="21" customWidth="1"/>
    <col min="21" max="16384" width="9.140625" style="16"/>
  </cols>
  <sheetData>
    <row r="1" spans="1:20" ht="15" customHeight="1" x14ac:dyDescent="0.25">
      <c r="A1" s="100" t="s">
        <v>87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7.5" customHeight="1" x14ac:dyDescent="0.2"/>
    <row r="3" spans="1:20" ht="12.75" customHeight="1" thickBot="1" x14ac:dyDescent="0.25">
      <c r="A3" s="31" t="s">
        <v>133</v>
      </c>
    </row>
    <row r="4" spans="1:20" ht="38.25" customHeight="1" thickBot="1" x14ac:dyDescent="0.25">
      <c r="A4" s="38" t="s">
        <v>65</v>
      </c>
      <c r="B4" s="37" t="s">
        <v>73</v>
      </c>
      <c r="C4" s="45" t="s">
        <v>74</v>
      </c>
      <c r="D4" s="46" t="s">
        <v>75</v>
      </c>
      <c r="E4" s="32" t="s">
        <v>50</v>
      </c>
      <c r="F4" s="32" t="s">
        <v>51</v>
      </c>
      <c r="G4" s="32" t="s">
        <v>52</v>
      </c>
      <c r="H4" s="32" t="s">
        <v>53</v>
      </c>
      <c r="I4" s="32" t="s">
        <v>63</v>
      </c>
      <c r="J4" s="32" t="s">
        <v>54</v>
      </c>
      <c r="K4" s="32" t="s">
        <v>55</v>
      </c>
      <c r="L4" s="32" t="s">
        <v>56</v>
      </c>
      <c r="M4" s="32" t="s">
        <v>57</v>
      </c>
      <c r="N4" s="32" t="s">
        <v>58</v>
      </c>
      <c r="O4" s="32" t="s">
        <v>59</v>
      </c>
      <c r="P4" s="32" t="s">
        <v>60</v>
      </c>
      <c r="Q4" s="32" t="s">
        <v>61</v>
      </c>
      <c r="R4" s="32" t="s">
        <v>81</v>
      </c>
      <c r="S4" s="44" t="s">
        <v>62</v>
      </c>
      <c r="T4" s="33" t="s">
        <v>0</v>
      </c>
    </row>
    <row r="5" spans="1:20" ht="12.75" customHeight="1" x14ac:dyDescent="0.2">
      <c r="A5" s="36" t="s">
        <v>67</v>
      </c>
      <c r="B5" s="39" t="s">
        <v>68</v>
      </c>
      <c r="C5" s="93">
        <v>1.402546526074008E-2</v>
      </c>
      <c r="D5" s="94">
        <v>1.2274959075747474E-3</v>
      </c>
      <c r="E5" s="66">
        <v>4.2353145602194988E-3</v>
      </c>
      <c r="F5" s="66">
        <v>4.8636073977957293E-3</v>
      </c>
      <c r="G5" s="66">
        <v>9.0380086992596502E-5</v>
      </c>
      <c r="H5" s="66">
        <v>1.4391272879874372E-5</v>
      </c>
      <c r="I5" s="66">
        <v>4.0642351848348276E-4</v>
      </c>
      <c r="J5" s="66" t="s">
        <v>132</v>
      </c>
      <c r="K5" s="66">
        <v>7.7186266688660904E-7</v>
      </c>
      <c r="L5" s="66" t="s">
        <v>132</v>
      </c>
      <c r="M5" s="66">
        <v>2.1576811178606144E-4</v>
      </c>
      <c r="N5" s="66">
        <v>2.4460114825183756E-4</v>
      </c>
      <c r="O5" s="66" t="s">
        <v>132</v>
      </c>
      <c r="P5" s="66" t="s">
        <v>132</v>
      </c>
      <c r="Q5" s="66" t="s">
        <v>132</v>
      </c>
      <c r="R5" s="66">
        <v>4.3570582103484499E-6</v>
      </c>
      <c r="S5" s="84">
        <v>3.9821342062345763E-4</v>
      </c>
      <c r="T5" s="88">
        <v>2.5726789606224602E-2</v>
      </c>
    </row>
    <row r="6" spans="1:20" ht="12.75" customHeight="1" x14ac:dyDescent="0.2">
      <c r="A6" s="35" t="s">
        <v>19</v>
      </c>
      <c r="B6" s="40" t="s">
        <v>68</v>
      </c>
      <c r="C6" s="103">
        <v>1.6387437778246699E-3</v>
      </c>
      <c r="D6" s="104" t="s">
        <v>132</v>
      </c>
      <c r="E6" s="67" t="s">
        <v>132</v>
      </c>
      <c r="F6" s="67" t="s">
        <v>132</v>
      </c>
      <c r="G6" s="67" t="s">
        <v>132</v>
      </c>
      <c r="H6" s="67" t="s">
        <v>132</v>
      </c>
      <c r="I6" s="67" t="s">
        <v>132</v>
      </c>
      <c r="J6" s="67" t="s">
        <v>132</v>
      </c>
      <c r="K6" s="67" t="s">
        <v>132</v>
      </c>
      <c r="L6" s="67" t="s">
        <v>132</v>
      </c>
      <c r="M6" s="67" t="s">
        <v>132</v>
      </c>
      <c r="N6" s="67" t="s">
        <v>132</v>
      </c>
      <c r="O6" s="67" t="s">
        <v>132</v>
      </c>
      <c r="P6" s="67" t="s">
        <v>132</v>
      </c>
      <c r="Q6" s="67" t="s">
        <v>132</v>
      </c>
      <c r="R6" s="67" t="s">
        <v>132</v>
      </c>
      <c r="S6" s="85" t="s">
        <v>132</v>
      </c>
      <c r="T6" s="89">
        <v>1.6387437778246699E-3</v>
      </c>
    </row>
    <row r="7" spans="1:20" ht="12.75" customHeight="1" x14ac:dyDescent="0.2">
      <c r="A7" s="36" t="s">
        <v>21</v>
      </c>
      <c r="B7" s="39" t="s">
        <v>68</v>
      </c>
      <c r="C7" s="105">
        <v>3.2242230756578501E-4</v>
      </c>
      <c r="D7" s="106" t="s">
        <v>132</v>
      </c>
      <c r="E7" s="66">
        <v>4.3126450473791902E-5</v>
      </c>
      <c r="F7" s="66">
        <v>1.57008690230821E-4</v>
      </c>
      <c r="G7" s="66">
        <v>1.30711746310454E-5</v>
      </c>
      <c r="H7" s="66">
        <v>1.8783582874045399E-4</v>
      </c>
      <c r="I7" s="66">
        <v>2.3173922460597101E-3</v>
      </c>
      <c r="J7" s="66" t="s">
        <v>132</v>
      </c>
      <c r="K7" s="66" t="s">
        <v>132</v>
      </c>
      <c r="L7" s="66" t="s">
        <v>132</v>
      </c>
      <c r="M7" s="66">
        <v>7.4069989575923699E-5</v>
      </c>
      <c r="N7" s="66" t="s">
        <v>132</v>
      </c>
      <c r="O7" s="66" t="s">
        <v>132</v>
      </c>
      <c r="P7" s="66" t="s">
        <v>132</v>
      </c>
      <c r="Q7" s="66" t="s">
        <v>132</v>
      </c>
      <c r="R7" s="66" t="s">
        <v>132</v>
      </c>
      <c r="S7" s="84">
        <v>2.25835980152524E-3</v>
      </c>
      <c r="T7" s="88">
        <v>5.3732864888027705E-3</v>
      </c>
    </row>
    <row r="8" spans="1:20" ht="12.75" customHeight="1" x14ac:dyDescent="0.2">
      <c r="A8" s="35" t="s">
        <v>22</v>
      </c>
      <c r="B8" s="40" t="s">
        <v>68</v>
      </c>
      <c r="C8" s="103" t="s">
        <v>132</v>
      </c>
      <c r="D8" s="104" t="s">
        <v>132</v>
      </c>
      <c r="E8" s="67" t="s">
        <v>132</v>
      </c>
      <c r="F8" s="67" t="s">
        <v>132</v>
      </c>
      <c r="G8" s="67" t="s">
        <v>132</v>
      </c>
      <c r="H8" s="67" t="s">
        <v>132</v>
      </c>
      <c r="I8" s="67" t="s">
        <v>132</v>
      </c>
      <c r="J8" s="67" t="s">
        <v>132</v>
      </c>
      <c r="K8" s="67">
        <v>1.4570042442011799E-3</v>
      </c>
      <c r="L8" s="67" t="s">
        <v>132</v>
      </c>
      <c r="M8" s="67" t="s">
        <v>132</v>
      </c>
      <c r="N8" s="67" t="s">
        <v>132</v>
      </c>
      <c r="O8" s="67" t="s">
        <v>132</v>
      </c>
      <c r="P8" s="67" t="s">
        <v>132</v>
      </c>
      <c r="Q8" s="67" t="s">
        <v>132</v>
      </c>
      <c r="R8" s="67" t="s">
        <v>132</v>
      </c>
      <c r="S8" s="85" t="s">
        <v>132</v>
      </c>
      <c r="T8" s="89">
        <v>1.4570042442011799E-3</v>
      </c>
    </row>
    <row r="9" spans="1:20" ht="12.75" customHeight="1" x14ac:dyDescent="0.2">
      <c r="A9" s="36" t="s">
        <v>69</v>
      </c>
      <c r="B9" s="39" t="s">
        <v>68</v>
      </c>
      <c r="C9" s="105">
        <v>2.5706643441055898E-4</v>
      </c>
      <c r="D9" s="106" t="s">
        <v>132</v>
      </c>
      <c r="E9" s="66">
        <v>1.5386762631705201E-5</v>
      </c>
      <c r="F9" s="66">
        <v>1.5038341218564399E-4</v>
      </c>
      <c r="G9" s="66">
        <v>9.4862913416031005E-5</v>
      </c>
      <c r="H9" s="66">
        <v>1.4665390670845599E-5</v>
      </c>
      <c r="I9" s="66">
        <v>1.0136141412771999E-3</v>
      </c>
      <c r="J9" s="66">
        <v>7.4841852242810296E-5</v>
      </c>
      <c r="K9" s="66" t="s">
        <v>132</v>
      </c>
      <c r="L9" s="66" t="s">
        <v>132</v>
      </c>
      <c r="M9" s="66">
        <v>1.7846937278556501E-4</v>
      </c>
      <c r="N9" s="66" t="s">
        <v>132</v>
      </c>
      <c r="O9" s="66" t="s">
        <v>132</v>
      </c>
      <c r="P9" s="66" t="s">
        <v>132</v>
      </c>
      <c r="Q9" s="66" t="s">
        <v>132</v>
      </c>
      <c r="R9" s="66">
        <v>1.0257841754470101E-5</v>
      </c>
      <c r="S9" s="84">
        <v>2.7335898681212899E-3</v>
      </c>
      <c r="T9" s="88">
        <v>4.5431379894961196E-3</v>
      </c>
    </row>
    <row r="10" spans="1:20" ht="12.75" customHeight="1" x14ac:dyDescent="0.2">
      <c r="A10" s="35" t="s">
        <v>77</v>
      </c>
      <c r="B10" s="40" t="s">
        <v>70</v>
      </c>
      <c r="C10" s="103">
        <v>2.10295123587225E-4</v>
      </c>
      <c r="D10" s="104" t="s">
        <v>132</v>
      </c>
      <c r="E10" s="67" t="s">
        <v>132</v>
      </c>
      <c r="F10" s="67" t="s">
        <v>132</v>
      </c>
      <c r="G10" s="67" t="s">
        <v>132</v>
      </c>
      <c r="H10" s="67" t="s">
        <v>132</v>
      </c>
      <c r="I10" s="67">
        <v>4.7142907923671603E-4</v>
      </c>
      <c r="J10" s="67" t="s">
        <v>132</v>
      </c>
      <c r="K10" s="67">
        <v>2.2000981248459098E-3</v>
      </c>
      <c r="L10" s="67">
        <v>1.4807351553440299E-3</v>
      </c>
      <c r="M10" s="67">
        <v>2.6142349262090699E-5</v>
      </c>
      <c r="N10" s="67" t="s">
        <v>132</v>
      </c>
      <c r="O10" s="67" t="s">
        <v>132</v>
      </c>
      <c r="P10" s="67" t="s">
        <v>132</v>
      </c>
      <c r="Q10" s="67" t="s">
        <v>132</v>
      </c>
      <c r="R10" s="67">
        <v>1.54372533377322E-6</v>
      </c>
      <c r="S10" s="85">
        <v>1.10351079194983E-3</v>
      </c>
      <c r="T10" s="89">
        <v>5.4937543495595749E-3</v>
      </c>
    </row>
    <row r="11" spans="1:20" ht="12.75" customHeight="1" x14ac:dyDescent="0.2">
      <c r="A11" s="36" t="s">
        <v>28</v>
      </c>
      <c r="B11" s="39" t="s">
        <v>70</v>
      </c>
      <c r="C11" s="105" t="s">
        <v>132</v>
      </c>
      <c r="D11" s="106" t="s">
        <v>132</v>
      </c>
      <c r="E11" s="66" t="s">
        <v>132</v>
      </c>
      <c r="F11" s="66" t="s">
        <v>132</v>
      </c>
      <c r="G11" s="66" t="s">
        <v>132</v>
      </c>
      <c r="H11" s="66" t="s">
        <v>132</v>
      </c>
      <c r="I11" s="66" t="s">
        <v>132</v>
      </c>
      <c r="J11" s="66" t="s">
        <v>132</v>
      </c>
      <c r="K11" s="66" t="s">
        <v>132</v>
      </c>
      <c r="L11" s="66" t="s">
        <v>132</v>
      </c>
      <c r="M11" s="66" t="s">
        <v>132</v>
      </c>
      <c r="N11" s="66" t="s">
        <v>132</v>
      </c>
      <c r="O11" s="66" t="s">
        <v>132</v>
      </c>
      <c r="P11" s="66" t="s">
        <v>132</v>
      </c>
      <c r="Q11" s="66" t="s">
        <v>132</v>
      </c>
      <c r="R11" s="66" t="s">
        <v>132</v>
      </c>
      <c r="S11" s="84">
        <v>4.2606113656171703E-3</v>
      </c>
      <c r="T11" s="88">
        <v>4.2606113656171703E-3</v>
      </c>
    </row>
    <row r="12" spans="1:20" ht="12.75" customHeight="1" x14ac:dyDescent="0.2">
      <c r="A12" s="35" t="s">
        <v>29</v>
      </c>
      <c r="B12" s="40" t="s">
        <v>70</v>
      </c>
      <c r="C12" s="103" t="s">
        <v>132</v>
      </c>
      <c r="D12" s="104" t="s">
        <v>132</v>
      </c>
      <c r="E12" s="67" t="s">
        <v>132</v>
      </c>
      <c r="F12" s="67" t="s">
        <v>132</v>
      </c>
      <c r="G12" s="67" t="s">
        <v>132</v>
      </c>
      <c r="H12" s="67" t="s">
        <v>132</v>
      </c>
      <c r="I12" s="67">
        <v>1.62091160046188E-5</v>
      </c>
      <c r="J12" s="67" t="s">
        <v>132</v>
      </c>
      <c r="K12" s="67" t="s">
        <v>132</v>
      </c>
      <c r="L12" s="67" t="s">
        <v>132</v>
      </c>
      <c r="M12" s="67" t="s">
        <v>132</v>
      </c>
      <c r="N12" s="67" t="s">
        <v>132</v>
      </c>
      <c r="O12" s="67" t="s">
        <v>132</v>
      </c>
      <c r="P12" s="67" t="s">
        <v>132</v>
      </c>
      <c r="Q12" s="67" t="s">
        <v>132</v>
      </c>
      <c r="R12" s="67" t="s">
        <v>132</v>
      </c>
      <c r="S12" s="85">
        <v>8.6448618691300106E-5</v>
      </c>
      <c r="T12" s="89">
        <v>1.0265773469591891E-4</v>
      </c>
    </row>
    <row r="13" spans="1:20" ht="12.75" customHeight="1" x14ac:dyDescent="0.2">
      <c r="A13" s="36" t="s">
        <v>30</v>
      </c>
      <c r="B13" s="39" t="s">
        <v>70</v>
      </c>
      <c r="C13" s="105" t="s">
        <v>132</v>
      </c>
      <c r="D13" s="106" t="s">
        <v>132</v>
      </c>
      <c r="E13" s="66" t="s">
        <v>132</v>
      </c>
      <c r="F13" s="66">
        <v>2.6917810791931798E-4</v>
      </c>
      <c r="G13" s="66">
        <v>6.5355873155226806E-5</v>
      </c>
      <c r="H13" s="66">
        <v>5.1361557259748503E-5</v>
      </c>
      <c r="I13" s="66">
        <v>6.1046423006386197E-4</v>
      </c>
      <c r="J13" s="66" t="s">
        <v>132</v>
      </c>
      <c r="K13" s="66">
        <v>3.04994074724392E-5</v>
      </c>
      <c r="L13" s="66" t="s">
        <v>132</v>
      </c>
      <c r="M13" s="66" t="s">
        <v>132</v>
      </c>
      <c r="N13" s="66" t="s">
        <v>132</v>
      </c>
      <c r="O13" s="66" t="s">
        <v>132</v>
      </c>
      <c r="P13" s="66" t="s">
        <v>132</v>
      </c>
      <c r="Q13" s="66" t="s">
        <v>132</v>
      </c>
      <c r="R13" s="66" t="s">
        <v>132</v>
      </c>
      <c r="S13" s="84">
        <v>1.3046115424746201E-2</v>
      </c>
      <c r="T13" s="88">
        <v>1.4072974600616794E-2</v>
      </c>
    </row>
    <row r="14" spans="1:20" ht="12.75" customHeight="1" x14ac:dyDescent="0.2">
      <c r="A14" s="35" t="s">
        <v>31</v>
      </c>
      <c r="B14" s="40" t="s">
        <v>70</v>
      </c>
      <c r="C14" s="103" t="s">
        <v>132</v>
      </c>
      <c r="D14" s="104" t="s">
        <v>132</v>
      </c>
      <c r="E14" s="67">
        <v>3.0102644008577698E-5</v>
      </c>
      <c r="F14" s="67">
        <v>6.8159090119819304E-4</v>
      </c>
      <c r="G14" s="67" t="s">
        <v>132</v>
      </c>
      <c r="H14" s="67">
        <v>2.6243330674144699E-5</v>
      </c>
      <c r="I14" s="67" t="s">
        <v>132</v>
      </c>
      <c r="J14" s="67" t="s">
        <v>132</v>
      </c>
      <c r="K14" s="67" t="s">
        <v>132</v>
      </c>
      <c r="L14" s="67" t="s">
        <v>132</v>
      </c>
      <c r="M14" s="67" t="s">
        <v>132</v>
      </c>
      <c r="N14" s="67" t="s">
        <v>132</v>
      </c>
      <c r="O14" s="67" t="s">
        <v>132</v>
      </c>
      <c r="P14" s="67" t="s">
        <v>132</v>
      </c>
      <c r="Q14" s="67" t="s">
        <v>132</v>
      </c>
      <c r="R14" s="67" t="s">
        <v>132</v>
      </c>
      <c r="S14" s="85">
        <v>2.9058113758368098E-4</v>
      </c>
      <c r="T14" s="89">
        <v>1.0285180134645964E-3</v>
      </c>
    </row>
    <row r="15" spans="1:20" ht="12.75" customHeight="1" x14ac:dyDescent="0.2">
      <c r="A15" s="36" t="s">
        <v>20</v>
      </c>
      <c r="B15" s="39" t="s">
        <v>70</v>
      </c>
      <c r="C15" s="105" t="s">
        <v>132</v>
      </c>
      <c r="D15" s="106" t="s">
        <v>132</v>
      </c>
      <c r="E15" s="66" t="s">
        <v>132</v>
      </c>
      <c r="F15" s="66" t="s">
        <v>132</v>
      </c>
      <c r="G15" s="66">
        <v>6.0659050350683405E-4</v>
      </c>
      <c r="H15" s="66" t="s">
        <v>132</v>
      </c>
      <c r="I15" s="66" t="s">
        <v>132</v>
      </c>
      <c r="J15" s="66" t="s">
        <v>132</v>
      </c>
      <c r="K15" s="66" t="s">
        <v>132</v>
      </c>
      <c r="L15" s="66" t="s">
        <v>132</v>
      </c>
      <c r="M15" s="66" t="s">
        <v>132</v>
      </c>
      <c r="N15" s="66" t="s">
        <v>132</v>
      </c>
      <c r="O15" s="66" t="s">
        <v>132</v>
      </c>
      <c r="P15" s="66" t="s">
        <v>132</v>
      </c>
      <c r="Q15" s="66" t="s">
        <v>132</v>
      </c>
      <c r="R15" s="66" t="s">
        <v>132</v>
      </c>
      <c r="S15" s="84" t="s">
        <v>132</v>
      </c>
      <c r="T15" s="88">
        <v>6.0659050350683405E-4</v>
      </c>
    </row>
    <row r="16" spans="1:20" ht="12.75" customHeight="1" x14ac:dyDescent="0.2">
      <c r="A16" s="35" t="s">
        <v>32</v>
      </c>
      <c r="B16" s="40" t="s">
        <v>70</v>
      </c>
      <c r="C16" s="103" t="s">
        <v>132</v>
      </c>
      <c r="D16" s="104" t="s">
        <v>132</v>
      </c>
      <c r="E16" s="67">
        <v>3.8593133344330396E-6</v>
      </c>
      <c r="F16" s="67">
        <v>7.7857147943493499E-5</v>
      </c>
      <c r="G16" s="67" t="s">
        <v>132</v>
      </c>
      <c r="H16" s="67">
        <v>7.7186266688660904E-7</v>
      </c>
      <c r="I16" s="67">
        <v>7.66380311067185E-5</v>
      </c>
      <c r="J16" s="67" t="s">
        <v>132</v>
      </c>
      <c r="K16" s="67">
        <v>6.9467640019794804E-6</v>
      </c>
      <c r="L16" s="67" t="s">
        <v>132</v>
      </c>
      <c r="M16" s="67" t="s">
        <v>132</v>
      </c>
      <c r="N16" s="67" t="s">
        <v>132</v>
      </c>
      <c r="O16" s="67" t="s">
        <v>132</v>
      </c>
      <c r="P16" s="67" t="s">
        <v>132</v>
      </c>
      <c r="Q16" s="67" t="s">
        <v>132</v>
      </c>
      <c r="R16" s="67" t="s">
        <v>132</v>
      </c>
      <c r="S16" s="85">
        <v>5.3089779349363899E-3</v>
      </c>
      <c r="T16" s="89">
        <v>5.475051053989901E-3</v>
      </c>
    </row>
    <row r="17" spans="1:20" ht="12.75" customHeight="1" x14ac:dyDescent="0.2">
      <c r="A17" s="36" t="s">
        <v>23</v>
      </c>
      <c r="B17" s="39" t="s">
        <v>71</v>
      </c>
      <c r="C17" s="105" t="s">
        <v>132</v>
      </c>
      <c r="D17" s="106" t="s">
        <v>132</v>
      </c>
      <c r="E17" s="66" t="s">
        <v>132</v>
      </c>
      <c r="F17" s="66" t="s">
        <v>132</v>
      </c>
      <c r="G17" s="66" t="s">
        <v>132</v>
      </c>
      <c r="H17" s="66" t="s">
        <v>132</v>
      </c>
      <c r="I17" s="66" t="s">
        <v>132</v>
      </c>
      <c r="J17" s="66" t="s">
        <v>132</v>
      </c>
      <c r="K17" s="66" t="s">
        <v>132</v>
      </c>
      <c r="L17" s="66">
        <v>4.1100601285780297E-3</v>
      </c>
      <c r="M17" s="66" t="s">
        <v>132</v>
      </c>
      <c r="N17" s="66" t="s">
        <v>132</v>
      </c>
      <c r="O17" s="66" t="s">
        <v>132</v>
      </c>
      <c r="P17" s="66" t="s">
        <v>132</v>
      </c>
      <c r="Q17" s="66" t="s">
        <v>132</v>
      </c>
      <c r="R17" s="66" t="s">
        <v>132</v>
      </c>
      <c r="S17" s="84" t="s">
        <v>132</v>
      </c>
      <c r="T17" s="88">
        <v>4.1100601285780297E-3</v>
      </c>
    </row>
    <row r="18" spans="1:20" ht="12.75" customHeight="1" x14ac:dyDescent="0.2">
      <c r="A18" s="35" t="s">
        <v>24</v>
      </c>
      <c r="B18" s="40" t="s">
        <v>72</v>
      </c>
      <c r="C18" s="103" t="s">
        <v>132</v>
      </c>
      <c r="D18" s="104" t="s">
        <v>132</v>
      </c>
      <c r="E18" s="67" t="s">
        <v>132</v>
      </c>
      <c r="F18" s="67" t="s">
        <v>132</v>
      </c>
      <c r="G18" s="67" t="s">
        <v>132</v>
      </c>
      <c r="H18" s="67" t="s">
        <v>132</v>
      </c>
      <c r="I18" s="67" t="s">
        <v>132</v>
      </c>
      <c r="J18" s="67" t="s">
        <v>132</v>
      </c>
      <c r="K18" s="67" t="s">
        <v>132</v>
      </c>
      <c r="L18" s="67" t="s">
        <v>132</v>
      </c>
      <c r="M18" s="67" t="s">
        <v>132</v>
      </c>
      <c r="N18" s="67" t="s">
        <v>132</v>
      </c>
      <c r="O18" s="67" t="s">
        <v>132</v>
      </c>
      <c r="P18" s="67">
        <v>1.6415975103407299E-2</v>
      </c>
      <c r="Q18" s="67" t="s">
        <v>132</v>
      </c>
      <c r="R18" s="67" t="s">
        <v>132</v>
      </c>
      <c r="S18" s="85" t="s">
        <v>132</v>
      </c>
      <c r="T18" s="89">
        <v>1.6415975103407299E-2</v>
      </c>
    </row>
    <row r="19" spans="1:20" ht="12.75" customHeight="1" x14ac:dyDescent="0.2">
      <c r="A19" s="36" t="s">
        <v>25</v>
      </c>
      <c r="B19" s="39" t="s">
        <v>72</v>
      </c>
      <c r="C19" s="105" t="s">
        <v>132</v>
      </c>
      <c r="D19" s="106" t="s">
        <v>132</v>
      </c>
      <c r="E19" s="66" t="s">
        <v>132</v>
      </c>
      <c r="F19" s="66" t="s">
        <v>132</v>
      </c>
      <c r="G19" s="66" t="s">
        <v>132</v>
      </c>
      <c r="H19" s="66" t="s">
        <v>132</v>
      </c>
      <c r="I19" s="66" t="s">
        <v>132</v>
      </c>
      <c r="J19" s="66" t="s">
        <v>132</v>
      </c>
      <c r="K19" s="66" t="s">
        <v>132</v>
      </c>
      <c r="L19" s="66" t="s">
        <v>132</v>
      </c>
      <c r="M19" s="66" t="s">
        <v>132</v>
      </c>
      <c r="N19" s="66" t="s">
        <v>132</v>
      </c>
      <c r="O19" s="66" t="s">
        <v>132</v>
      </c>
      <c r="P19" s="66">
        <v>1.5805288066436201E-2</v>
      </c>
      <c r="Q19" s="66" t="s">
        <v>132</v>
      </c>
      <c r="R19" s="66" t="s">
        <v>132</v>
      </c>
      <c r="S19" s="84" t="s">
        <v>132</v>
      </c>
      <c r="T19" s="88">
        <v>1.5805288066436201E-2</v>
      </c>
    </row>
    <row r="20" spans="1:20" ht="12.75" customHeight="1" x14ac:dyDescent="0.2">
      <c r="A20" s="35" t="s">
        <v>78</v>
      </c>
      <c r="B20" s="40" t="s">
        <v>72</v>
      </c>
      <c r="C20" s="103" t="s">
        <v>132</v>
      </c>
      <c r="D20" s="104" t="s">
        <v>132</v>
      </c>
      <c r="E20" s="67" t="s">
        <v>132</v>
      </c>
      <c r="F20" s="67" t="s">
        <v>132</v>
      </c>
      <c r="G20" s="67" t="s">
        <v>132</v>
      </c>
      <c r="H20" s="67" t="s">
        <v>132</v>
      </c>
      <c r="I20" s="67" t="s">
        <v>132</v>
      </c>
      <c r="J20" s="67" t="s">
        <v>132</v>
      </c>
      <c r="K20" s="67" t="s">
        <v>132</v>
      </c>
      <c r="L20" s="67" t="s">
        <v>132</v>
      </c>
      <c r="M20" s="67" t="s">
        <v>132</v>
      </c>
      <c r="N20" s="67" t="s">
        <v>132</v>
      </c>
      <c r="O20" s="67" t="s">
        <v>132</v>
      </c>
      <c r="P20" s="67" t="s">
        <v>132</v>
      </c>
      <c r="Q20" s="67">
        <v>2.1377309263824132E-4</v>
      </c>
      <c r="R20" s="67" t="s">
        <v>132</v>
      </c>
      <c r="S20" s="85" t="s">
        <v>132</v>
      </c>
      <c r="T20" s="89">
        <v>2.1377309263824132E-4</v>
      </c>
    </row>
    <row r="21" spans="1:20" ht="12.75" customHeight="1" x14ac:dyDescent="0.2">
      <c r="A21" s="36" t="s">
        <v>26</v>
      </c>
      <c r="B21" s="39" t="s">
        <v>72</v>
      </c>
      <c r="C21" s="105" t="s">
        <v>132</v>
      </c>
      <c r="D21" s="106" t="s">
        <v>132</v>
      </c>
      <c r="E21" s="66" t="s">
        <v>132</v>
      </c>
      <c r="F21" s="66" t="s">
        <v>132</v>
      </c>
      <c r="G21" s="66" t="s">
        <v>132</v>
      </c>
      <c r="H21" s="66" t="s">
        <v>132</v>
      </c>
      <c r="I21" s="66" t="s">
        <v>132</v>
      </c>
      <c r="J21" s="66" t="s">
        <v>132</v>
      </c>
      <c r="K21" s="66" t="s">
        <v>132</v>
      </c>
      <c r="L21" s="66" t="s">
        <v>132</v>
      </c>
      <c r="M21" s="66" t="s">
        <v>132</v>
      </c>
      <c r="N21" s="66" t="s">
        <v>132</v>
      </c>
      <c r="O21" s="66" t="s">
        <v>132</v>
      </c>
      <c r="P21" s="66">
        <v>5.6480982846981997E-3</v>
      </c>
      <c r="Q21" s="66" t="s">
        <v>132</v>
      </c>
      <c r="R21" s="66" t="s">
        <v>132</v>
      </c>
      <c r="S21" s="84" t="s">
        <v>132</v>
      </c>
      <c r="T21" s="88">
        <v>5.6480982846981997E-3</v>
      </c>
    </row>
    <row r="22" spans="1:20" ht="12.75" customHeight="1" thickBot="1" x14ac:dyDescent="0.25">
      <c r="A22" s="43" t="s">
        <v>27</v>
      </c>
      <c r="B22" s="42" t="s">
        <v>72</v>
      </c>
      <c r="C22" s="107" t="s">
        <v>132</v>
      </c>
      <c r="D22" s="108" t="s">
        <v>132</v>
      </c>
      <c r="E22" s="74" t="s">
        <v>132</v>
      </c>
      <c r="F22" s="74" t="s">
        <v>132</v>
      </c>
      <c r="G22" s="74" t="s">
        <v>132</v>
      </c>
      <c r="H22" s="74" t="s">
        <v>132</v>
      </c>
      <c r="I22" s="74" t="s">
        <v>132</v>
      </c>
      <c r="J22" s="74" t="s">
        <v>132</v>
      </c>
      <c r="K22" s="74" t="s">
        <v>132</v>
      </c>
      <c r="L22" s="74" t="s">
        <v>132</v>
      </c>
      <c r="M22" s="74" t="s">
        <v>132</v>
      </c>
      <c r="N22" s="74" t="s">
        <v>132</v>
      </c>
      <c r="O22" s="74" t="s">
        <v>132</v>
      </c>
      <c r="P22" s="74" t="s">
        <v>132</v>
      </c>
      <c r="Q22" s="74">
        <v>8.6017110719106993E-3</v>
      </c>
      <c r="R22" s="74" t="s">
        <v>132</v>
      </c>
      <c r="S22" s="86" t="s">
        <v>132</v>
      </c>
      <c r="T22" s="75">
        <v>8.6017110719106993E-3</v>
      </c>
    </row>
    <row r="23" spans="1:20" ht="12.75" customHeight="1" thickTop="1" thickBot="1" x14ac:dyDescent="0.25">
      <c r="A23" s="34" t="s">
        <v>0</v>
      </c>
      <c r="B23" s="41"/>
      <c r="C23" s="101">
        <v>1.7681488811703068E-2</v>
      </c>
      <c r="D23" s="102" t="s">
        <v>132</v>
      </c>
      <c r="E23" s="73">
        <v>4.3277897306680073E-3</v>
      </c>
      <c r="F23" s="73">
        <v>6.1996256572731979E-3</v>
      </c>
      <c r="G23" s="73">
        <v>8.7026055170173376E-4</v>
      </c>
      <c r="H23" s="73">
        <v>2.952692428919538E-4</v>
      </c>
      <c r="I23" s="73">
        <v>4.9121703622323079E-3</v>
      </c>
      <c r="J23" s="73">
        <v>7.4841852242810296E-5</v>
      </c>
      <c r="K23" s="73">
        <v>3.6953204031883952E-3</v>
      </c>
      <c r="L23" s="73">
        <v>5.5907952839220594E-3</v>
      </c>
      <c r="M23" s="73">
        <v>4.9444982340964081E-4</v>
      </c>
      <c r="N23" s="73">
        <v>2.4460114825183756E-4</v>
      </c>
      <c r="O23" s="73" t="s">
        <v>132</v>
      </c>
      <c r="P23" s="73">
        <v>3.78693614545417E-2</v>
      </c>
      <c r="Q23" s="73">
        <v>8.8154841645489406E-3</v>
      </c>
      <c r="R23" s="73">
        <v>1.6158625298591772E-5</v>
      </c>
      <c r="S23" s="87">
        <v>2.9486408363794563E-2</v>
      </c>
      <c r="T23" s="90">
        <v>0.12057402547566881</v>
      </c>
    </row>
    <row r="26" spans="1:20" ht="15" x14ac:dyDescent="0.25">
      <c r="A26" s="109" t="s">
        <v>129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</row>
    <row r="27" spans="1:20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1:20" ht="13.5" thickBot="1" x14ac:dyDescent="0.25">
      <c r="A28" s="31" t="s">
        <v>133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39" thickBot="1" x14ac:dyDescent="0.25">
      <c r="A29" s="77" t="s">
        <v>65</v>
      </c>
      <c r="B29" s="76" t="s">
        <v>73</v>
      </c>
      <c r="C29" s="91" t="s">
        <v>74</v>
      </c>
      <c r="D29" s="92" t="s">
        <v>75</v>
      </c>
      <c r="E29" s="68" t="s">
        <v>50</v>
      </c>
      <c r="F29" s="68" t="s">
        <v>51</v>
      </c>
      <c r="G29" s="68" t="s">
        <v>52</v>
      </c>
      <c r="H29" s="68" t="s">
        <v>53</v>
      </c>
      <c r="I29" s="68" t="s">
        <v>63</v>
      </c>
      <c r="J29" s="68" t="s">
        <v>54</v>
      </c>
      <c r="K29" s="68" t="s">
        <v>55</v>
      </c>
      <c r="L29" s="68" t="s">
        <v>56</v>
      </c>
      <c r="M29" s="68" t="s">
        <v>57</v>
      </c>
      <c r="N29" s="68" t="s">
        <v>58</v>
      </c>
      <c r="O29" s="68" t="s">
        <v>59</v>
      </c>
      <c r="P29" s="68" t="s">
        <v>60</v>
      </c>
      <c r="Q29" s="68" t="s">
        <v>61</v>
      </c>
      <c r="R29" s="68" t="s">
        <v>81</v>
      </c>
      <c r="S29" s="83" t="s">
        <v>62</v>
      </c>
      <c r="T29" s="69" t="s">
        <v>0</v>
      </c>
    </row>
    <row r="30" spans="1:20" x14ac:dyDescent="0.2">
      <c r="A30" s="72" t="s">
        <v>67</v>
      </c>
      <c r="B30" s="78" t="s">
        <v>68</v>
      </c>
      <c r="C30" s="93">
        <v>6.5385202380606189E-3</v>
      </c>
      <c r="D30" s="94">
        <v>9.8532983112461646E-4</v>
      </c>
      <c r="E30" s="66">
        <v>1.6118710824375526E-3</v>
      </c>
      <c r="F30" s="66">
        <v>1.6118710824375502E-3</v>
      </c>
      <c r="G30" s="66">
        <v>5.8905587730275993E-5</v>
      </c>
      <c r="H30" s="66">
        <v>5.3550534300250904E-6</v>
      </c>
      <c r="I30" s="66">
        <v>2.5704256464120469E-4</v>
      </c>
      <c r="J30" s="66" t="s">
        <v>132</v>
      </c>
      <c r="K30" s="66" t="s">
        <v>132</v>
      </c>
      <c r="L30" s="66" t="s">
        <v>132</v>
      </c>
      <c r="M30" s="66">
        <v>1.124561220305269E-4</v>
      </c>
      <c r="N30" s="66">
        <v>1.071010686005018E-4</v>
      </c>
      <c r="O30" s="66" t="s">
        <v>132</v>
      </c>
      <c r="P30" s="66" t="s">
        <v>132</v>
      </c>
      <c r="Q30" s="66" t="s">
        <v>132</v>
      </c>
      <c r="R30" s="66">
        <v>5.3550534300250904E-6</v>
      </c>
      <c r="S30" s="84">
        <v>2.9988299208140527E-4</v>
      </c>
      <c r="T30" s="88">
        <v>1.1593690676004301E-2</v>
      </c>
    </row>
    <row r="31" spans="1:20" x14ac:dyDescent="0.2">
      <c r="A31" s="71" t="s">
        <v>19</v>
      </c>
      <c r="B31" s="79" t="s">
        <v>68</v>
      </c>
      <c r="C31" s="103">
        <v>8.5680854880401398E-4</v>
      </c>
      <c r="D31" s="104" t="s">
        <v>132</v>
      </c>
      <c r="E31" s="67" t="s">
        <v>132</v>
      </c>
      <c r="F31" s="67" t="s">
        <v>132</v>
      </c>
      <c r="G31" s="67" t="s">
        <v>132</v>
      </c>
      <c r="H31" s="67" t="s">
        <v>132</v>
      </c>
      <c r="I31" s="67" t="s">
        <v>132</v>
      </c>
      <c r="J31" s="67" t="s">
        <v>132</v>
      </c>
      <c r="K31" s="67" t="s">
        <v>132</v>
      </c>
      <c r="L31" s="67" t="s">
        <v>132</v>
      </c>
      <c r="M31" s="67" t="s">
        <v>132</v>
      </c>
      <c r="N31" s="67" t="s">
        <v>132</v>
      </c>
      <c r="O31" s="67" t="s">
        <v>132</v>
      </c>
      <c r="P31" s="67" t="s">
        <v>132</v>
      </c>
      <c r="Q31" s="67" t="s">
        <v>132</v>
      </c>
      <c r="R31" s="67" t="s">
        <v>132</v>
      </c>
      <c r="S31" s="85" t="s">
        <v>132</v>
      </c>
      <c r="T31" s="89">
        <v>8.5680854880401398E-4</v>
      </c>
    </row>
    <row r="32" spans="1:20" x14ac:dyDescent="0.2">
      <c r="A32" s="72" t="s">
        <v>21</v>
      </c>
      <c r="B32" s="78" t="s">
        <v>68</v>
      </c>
      <c r="C32" s="105">
        <v>3.9627395382185602E-4</v>
      </c>
      <c r="D32" s="106" t="s">
        <v>132</v>
      </c>
      <c r="E32" s="66">
        <v>2.67752671501254E-5</v>
      </c>
      <c r="F32" s="66">
        <v>1.39231389180652E-4</v>
      </c>
      <c r="G32" s="66">
        <v>1.60651602900753E-5</v>
      </c>
      <c r="H32" s="66">
        <v>1.4994149604070301E-4</v>
      </c>
      <c r="I32" s="66">
        <v>1.93317428823906E-3</v>
      </c>
      <c r="J32" s="66" t="s">
        <v>132</v>
      </c>
      <c r="K32" s="66" t="s">
        <v>132</v>
      </c>
      <c r="L32" s="66" t="s">
        <v>132</v>
      </c>
      <c r="M32" s="66">
        <v>9.1035908310426505E-5</v>
      </c>
      <c r="N32" s="66" t="s">
        <v>132</v>
      </c>
      <c r="O32" s="66" t="s">
        <v>132</v>
      </c>
      <c r="P32" s="66" t="s">
        <v>132</v>
      </c>
      <c r="Q32" s="66" t="s">
        <v>132</v>
      </c>
      <c r="R32" s="66" t="s">
        <v>132</v>
      </c>
      <c r="S32" s="84">
        <v>2.3829987763611601E-3</v>
      </c>
      <c r="T32" s="88">
        <v>5.1354962393940582E-3</v>
      </c>
    </row>
    <row r="33" spans="1:20" x14ac:dyDescent="0.2">
      <c r="A33" s="71" t="s">
        <v>22</v>
      </c>
      <c r="B33" s="79" t="s">
        <v>68</v>
      </c>
      <c r="C33" s="103" t="s">
        <v>132</v>
      </c>
      <c r="D33" s="104" t="s">
        <v>132</v>
      </c>
      <c r="E33" s="67" t="s">
        <v>132</v>
      </c>
      <c r="F33" s="67" t="s">
        <v>132</v>
      </c>
      <c r="G33" s="67" t="s">
        <v>132</v>
      </c>
      <c r="H33" s="67" t="s">
        <v>132</v>
      </c>
      <c r="I33" s="67" t="s">
        <v>132</v>
      </c>
      <c r="J33" s="67" t="s">
        <v>132</v>
      </c>
      <c r="K33" s="67">
        <v>1.4565745367970599E-3</v>
      </c>
      <c r="L33" s="67" t="s">
        <v>132</v>
      </c>
      <c r="M33" s="67" t="s">
        <v>132</v>
      </c>
      <c r="N33" s="67" t="s">
        <v>132</v>
      </c>
      <c r="O33" s="67" t="s">
        <v>132</v>
      </c>
      <c r="P33" s="67" t="s">
        <v>132</v>
      </c>
      <c r="Q33" s="67" t="s">
        <v>132</v>
      </c>
      <c r="R33" s="67" t="s">
        <v>132</v>
      </c>
      <c r="S33" s="85" t="s">
        <v>132</v>
      </c>
      <c r="T33" s="89">
        <v>1.4565745367970599E-3</v>
      </c>
    </row>
    <row r="34" spans="1:20" x14ac:dyDescent="0.2">
      <c r="A34" s="72" t="s">
        <v>69</v>
      </c>
      <c r="B34" s="78" t="s">
        <v>68</v>
      </c>
      <c r="C34" s="105">
        <v>3.1594815237147999E-4</v>
      </c>
      <c r="D34" s="106" t="s">
        <v>132</v>
      </c>
      <c r="E34" s="66">
        <v>1.60651602900753E-5</v>
      </c>
      <c r="F34" s="66">
        <v>1.23166228890577E-4</v>
      </c>
      <c r="G34" s="66">
        <v>1.01746015170477E-4</v>
      </c>
      <c r="H34" s="66" t="s">
        <v>132</v>
      </c>
      <c r="I34" s="66">
        <v>8.62163602234039E-4</v>
      </c>
      <c r="J34" s="66">
        <v>9.1035908310426505E-5</v>
      </c>
      <c r="K34" s="66" t="s">
        <v>132</v>
      </c>
      <c r="L34" s="66" t="s">
        <v>132</v>
      </c>
      <c r="M34" s="66">
        <v>1.87426870050878E-4</v>
      </c>
      <c r="N34" s="66" t="s">
        <v>132</v>
      </c>
      <c r="O34" s="66" t="s">
        <v>132</v>
      </c>
      <c r="P34" s="66" t="s">
        <v>132</v>
      </c>
      <c r="Q34" s="66" t="s">
        <v>132</v>
      </c>
      <c r="R34" s="66">
        <v>1.0710106860050199E-5</v>
      </c>
      <c r="S34" s="84">
        <v>2.6453963944323899E-3</v>
      </c>
      <c r="T34" s="88">
        <v>4.3536584386103926E-3</v>
      </c>
    </row>
    <row r="35" spans="1:20" x14ac:dyDescent="0.2">
      <c r="A35" s="71" t="s">
        <v>77</v>
      </c>
      <c r="B35" s="79" t="s">
        <v>70</v>
      </c>
      <c r="C35" s="103">
        <v>2.03492030340953E-4</v>
      </c>
      <c r="D35" s="104" t="s">
        <v>132</v>
      </c>
      <c r="E35" s="67" t="s">
        <v>132</v>
      </c>
      <c r="F35" s="67" t="s">
        <v>132</v>
      </c>
      <c r="G35" s="67" t="s">
        <v>132</v>
      </c>
      <c r="H35" s="67" t="s">
        <v>132</v>
      </c>
      <c r="I35" s="67">
        <v>4.4446943469208199E-4</v>
      </c>
      <c r="J35" s="67" t="s">
        <v>132</v>
      </c>
      <c r="K35" s="67">
        <v>2.4151290969413098E-3</v>
      </c>
      <c r="L35" s="67">
        <v>1.7778777387683299E-3</v>
      </c>
      <c r="M35" s="67">
        <v>3.2130320580150498E-5</v>
      </c>
      <c r="N35" s="67" t="s">
        <v>132</v>
      </c>
      <c r="O35" s="67" t="s">
        <v>132</v>
      </c>
      <c r="P35" s="67" t="s">
        <v>132</v>
      </c>
      <c r="Q35" s="67" t="s">
        <v>132</v>
      </c>
      <c r="R35" s="67" t="s">
        <v>132</v>
      </c>
      <c r="S35" s="85">
        <v>1.26914766291595E-3</v>
      </c>
      <c r="T35" s="89">
        <v>6.1422462842387754E-3</v>
      </c>
    </row>
    <row r="36" spans="1:20" x14ac:dyDescent="0.2">
      <c r="A36" s="72" t="s">
        <v>28</v>
      </c>
      <c r="B36" s="78" t="s">
        <v>70</v>
      </c>
      <c r="C36" s="105" t="s">
        <v>132</v>
      </c>
      <c r="D36" s="106" t="s">
        <v>132</v>
      </c>
      <c r="E36" s="66" t="s">
        <v>132</v>
      </c>
      <c r="F36" s="66" t="s">
        <v>132</v>
      </c>
      <c r="G36" s="66" t="s">
        <v>132</v>
      </c>
      <c r="H36" s="66" t="s">
        <v>132</v>
      </c>
      <c r="I36" s="66" t="s">
        <v>132</v>
      </c>
      <c r="J36" s="66" t="s">
        <v>132</v>
      </c>
      <c r="K36" s="66" t="s">
        <v>132</v>
      </c>
      <c r="L36" s="66" t="s">
        <v>132</v>
      </c>
      <c r="M36" s="66" t="s">
        <v>132</v>
      </c>
      <c r="N36" s="66" t="s">
        <v>132</v>
      </c>
      <c r="O36" s="66" t="s">
        <v>132</v>
      </c>
      <c r="P36" s="66" t="s">
        <v>132</v>
      </c>
      <c r="Q36" s="66" t="s">
        <v>132</v>
      </c>
      <c r="R36" s="66" t="s">
        <v>132</v>
      </c>
      <c r="S36" s="84">
        <v>5.09801086538388E-3</v>
      </c>
      <c r="T36" s="88">
        <v>5.09801086538388E-3</v>
      </c>
    </row>
    <row r="37" spans="1:20" x14ac:dyDescent="0.2">
      <c r="A37" s="71" t="s">
        <v>29</v>
      </c>
      <c r="B37" s="79" t="s">
        <v>70</v>
      </c>
      <c r="C37" s="103" t="s">
        <v>132</v>
      </c>
      <c r="D37" s="104" t="s">
        <v>132</v>
      </c>
      <c r="E37" s="67" t="s">
        <v>132</v>
      </c>
      <c r="F37" s="67" t="s">
        <v>132</v>
      </c>
      <c r="G37" s="67" t="s">
        <v>132</v>
      </c>
      <c r="H37" s="67" t="s">
        <v>132</v>
      </c>
      <c r="I37" s="67" t="s">
        <v>132</v>
      </c>
      <c r="J37" s="67" t="s">
        <v>132</v>
      </c>
      <c r="K37" s="67" t="s">
        <v>132</v>
      </c>
      <c r="L37" s="67" t="s">
        <v>132</v>
      </c>
      <c r="M37" s="67" t="s">
        <v>132</v>
      </c>
      <c r="N37" s="67" t="s">
        <v>132</v>
      </c>
      <c r="O37" s="67" t="s">
        <v>132</v>
      </c>
      <c r="P37" s="67" t="s">
        <v>132</v>
      </c>
      <c r="Q37" s="67" t="s">
        <v>132</v>
      </c>
      <c r="R37" s="67" t="s">
        <v>132</v>
      </c>
      <c r="S37" s="85" t="s">
        <v>132</v>
      </c>
      <c r="T37" s="89" t="s">
        <v>132</v>
      </c>
    </row>
    <row r="38" spans="1:20" x14ac:dyDescent="0.2">
      <c r="A38" s="72" t="s">
        <v>30</v>
      </c>
      <c r="B38" s="78" t="s">
        <v>70</v>
      </c>
      <c r="C38" s="105" t="s">
        <v>132</v>
      </c>
      <c r="D38" s="106" t="s">
        <v>132</v>
      </c>
      <c r="E38" s="66" t="s">
        <v>132</v>
      </c>
      <c r="F38" s="66">
        <v>6.4260641160301105E-5</v>
      </c>
      <c r="G38" s="66">
        <v>8.0325801450376294E-5</v>
      </c>
      <c r="H38" s="66" t="s">
        <v>132</v>
      </c>
      <c r="I38" s="66">
        <v>6.8009178561318601E-4</v>
      </c>
      <c r="J38" s="66" t="s">
        <v>132</v>
      </c>
      <c r="K38" s="66">
        <v>3.7485374010175597E-5</v>
      </c>
      <c r="L38" s="66" t="s">
        <v>132</v>
      </c>
      <c r="M38" s="66" t="s">
        <v>132</v>
      </c>
      <c r="N38" s="66" t="s">
        <v>132</v>
      </c>
      <c r="O38" s="66" t="s">
        <v>132</v>
      </c>
      <c r="P38" s="66" t="s">
        <v>132</v>
      </c>
      <c r="Q38" s="66" t="s">
        <v>132</v>
      </c>
      <c r="R38" s="66" t="s">
        <v>132</v>
      </c>
      <c r="S38" s="84">
        <v>1.2761092323749799E-2</v>
      </c>
      <c r="T38" s="88">
        <v>1.3623255925983839E-2</v>
      </c>
    </row>
    <row r="39" spans="1:20" x14ac:dyDescent="0.2">
      <c r="A39" s="71" t="s">
        <v>31</v>
      </c>
      <c r="B39" s="79" t="s">
        <v>70</v>
      </c>
      <c r="C39" s="103" t="s">
        <v>132</v>
      </c>
      <c r="D39" s="104" t="s">
        <v>132</v>
      </c>
      <c r="E39" s="67" t="s">
        <v>132</v>
      </c>
      <c r="F39" s="67">
        <v>3.1594815237147999E-4</v>
      </c>
      <c r="G39" s="67" t="s">
        <v>132</v>
      </c>
      <c r="H39" s="67" t="s">
        <v>132</v>
      </c>
      <c r="I39" s="67" t="s">
        <v>132</v>
      </c>
      <c r="J39" s="67" t="s">
        <v>132</v>
      </c>
      <c r="K39" s="67" t="s">
        <v>132</v>
      </c>
      <c r="L39" s="67" t="s">
        <v>132</v>
      </c>
      <c r="M39" s="67" t="s">
        <v>132</v>
      </c>
      <c r="N39" s="67" t="s">
        <v>132</v>
      </c>
      <c r="O39" s="67" t="s">
        <v>132</v>
      </c>
      <c r="P39" s="67" t="s">
        <v>132</v>
      </c>
      <c r="Q39" s="67" t="s">
        <v>132</v>
      </c>
      <c r="R39" s="67" t="s">
        <v>132</v>
      </c>
      <c r="S39" s="85">
        <v>2.9452793865137998E-4</v>
      </c>
      <c r="T39" s="89">
        <v>6.1047609102286003E-4</v>
      </c>
    </row>
    <row r="40" spans="1:20" x14ac:dyDescent="0.2">
      <c r="A40" s="72" t="s">
        <v>20</v>
      </c>
      <c r="B40" s="78" t="s">
        <v>70</v>
      </c>
      <c r="C40" s="105" t="s">
        <v>132</v>
      </c>
      <c r="D40" s="106" t="s">
        <v>132</v>
      </c>
      <c r="E40" s="66" t="s">
        <v>132</v>
      </c>
      <c r="F40" s="66" t="s">
        <v>132</v>
      </c>
      <c r="G40" s="66">
        <v>7.2560973976839899E-4</v>
      </c>
      <c r="H40" s="66" t="s">
        <v>132</v>
      </c>
      <c r="I40" s="66" t="s">
        <v>132</v>
      </c>
      <c r="J40" s="66" t="s">
        <v>132</v>
      </c>
      <c r="K40" s="66" t="s">
        <v>132</v>
      </c>
      <c r="L40" s="66" t="s">
        <v>132</v>
      </c>
      <c r="M40" s="66" t="s">
        <v>132</v>
      </c>
      <c r="N40" s="66" t="s">
        <v>132</v>
      </c>
      <c r="O40" s="66" t="s">
        <v>132</v>
      </c>
      <c r="P40" s="66" t="s">
        <v>132</v>
      </c>
      <c r="Q40" s="66" t="s">
        <v>132</v>
      </c>
      <c r="R40" s="66" t="s">
        <v>132</v>
      </c>
      <c r="S40" s="84" t="s">
        <v>132</v>
      </c>
      <c r="T40" s="88">
        <v>7.2560973976839899E-4</v>
      </c>
    </row>
    <row r="41" spans="1:20" x14ac:dyDescent="0.2">
      <c r="A41" s="71" t="s">
        <v>32</v>
      </c>
      <c r="B41" s="79" t="s">
        <v>70</v>
      </c>
      <c r="C41" s="103" t="s">
        <v>132</v>
      </c>
      <c r="D41" s="104" t="s">
        <v>132</v>
      </c>
      <c r="E41" s="67" t="s">
        <v>132</v>
      </c>
      <c r="F41" s="67">
        <v>3.2130320580150498E-5</v>
      </c>
      <c r="G41" s="67" t="s">
        <v>132</v>
      </c>
      <c r="H41" s="67" t="s">
        <v>132</v>
      </c>
      <c r="I41" s="67">
        <v>1.0710106860050199E-5</v>
      </c>
      <c r="J41" s="67" t="s">
        <v>132</v>
      </c>
      <c r="K41" s="67" t="s">
        <v>132</v>
      </c>
      <c r="L41" s="67" t="s">
        <v>132</v>
      </c>
      <c r="M41" s="67" t="s">
        <v>132</v>
      </c>
      <c r="N41" s="67" t="s">
        <v>132</v>
      </c>
      <c r="O41" s="67" t="s">
        <v>132</v>
      </c>
      <c r="P41" s="67" t="s">
        <v>132</v>
      </c>
      <c r="Q41" s="67" t="s">
        <v>132</v>
      </c>
      <c r="R41" s="67" t="s">
        <v>132</v>
      </c>
      <c r="S41" s="85">
        <v>4.9480693693431804E-3</v>
      </c>
      <c r="T41" s="89">
        <v>4.9909097967833814E-3</v>
      </c>
    </row>
    <row r="42" spans="1:20" x14ac:dyDescent="0.2">
      <c r="A42" s="72" t="s">
        <v>23</v>
      </c>
      <c r="B42" s="78" t="s">
        <v>71</v>
      </c>
      <c r="C42" s="105" t="s">
        <v>132</v>
      </c>
      <c r="D42" s="106" t="s">
        <v>132</v>
      </c>
      <c r="E42" s="66" t="s">
        <v>132</v>
      </c>
      <c r="F42" s="66" t="s">
        <v>132</v>
      </c>
      <c r="G42" s="66" t="s">
        <v>132</v>
      </c>
      <c r="H42" s="66" t="s">
        <v>132</v>
      </c>
      <c r="I42" s="66" t="s">
        <v>132</v>
      </c>
      <c r="J42" s="66" t="s">
        <v>132</v>
      </c>
      <c r="K42" s="66" t="s">
        <v>132</v>
      </c>
      <c r="L42" s="66">
        <v>4.7030756749195301E-3</v>
      </c>
      <c r="M42" s="66" t="s">
        <v>132</v>
      </c>
      <c r="N42" s="66" t="s">
        <v>132</v>
      </c>
      <c r="O42" s="66" t="s">
        <v>132</v>
      </c>
      <c r="P42" s="66" t="s">
        <v>132</v>
      </c>
      <c r="Q42" s="66" t="s">
        <v>132</v>
      </c>
      <c r="R42" s="66" t="s">
        <v>132</v>
      </c>
      <c r="S42" s="84" t="s">
        <v>132</v>
      </c>
      <c r="T42" s="88">
        <v>4.7030756749195301E-3</v>
      </c>
    </row>
    <row r="43" spans="1:20" x14ac:dyDescent="0.2">
      <c r="A43" s="71" t="s">
        <v>24</v>
      </c>
      <c r="B43" s="79" t="s">
        <v>72</v>
      </c>
      <c r="C43" s="103" t="s">
        <v>132</v>
      </c>
      <c r="D43" s="104" t="s">
        <v>132</v>
      </c>
      <c r="E43" s="67" t="s">
        <v>132</v>
      </c>
      <c r="F43" s="67" t="s">
        <v>132</v>
      </c>
      <c r="G43" s="67" t="s">
        <v>132</v>
      </c>
      <c r="H43" s="67" t="s">
        <v>132</v>
      </c>
      <c r="I43" s="67" t="s">
        <v>132</v>
      </c>
      <c r="J43" s="67" t="s">
        <v>132</v>
      </c>
      <c r="K43" s="67" t="s">
        <v>132</v>
      </c>
      <c r="L43" s="67" t="s">
        <v>132</v>
      </c>
      <c r="M43" s="67" t="s">
        <v>132</v>
      </c>
      <c r="N43" s="67" t="s">
        <v>132</v>
      </c>
      <c r="O43" s="67" t="s">
        <v>132</v>
      </c>
      <c r="P43" s="67">
        <v>1.88979835545585E-2</v>
      </c>
      <c r="Q43" s="67" t="s">
        <v>132</v>
      </c>
      <c r="R43" s="67" t="s">
        <v>132</v>
      </c>
      <c r="S43" s="85" t="s">
        <v>132</v>
      </c>
      <c r="T43" s="89">
        <v>1.88979835545585E-2</v>
      </c>
    </row>
    <row r="44" spans="1:20" x14ac:dyDescent="0.2">
      <c r="A44" s="72" t="s">
        <v>25</v>
      </c>
      <c r="B44" s="78" t="s">
        <v>72</v>
      </c>
      <c r="C44" s="105" t="s">
        <v>132</v>
      </c>
      <c r="D44" s="106" t="s">
        <v>132</v>
      </c>
      <c r="E44" s="66" t="s">
        <v>132</v>
      </c>
      <c r="F44" s="66" t="s">
        <v>132</v>
      </c>
      <c r="G44" s="66" t="s">
        <v>132</v>
      </c>
      <c r="H44" s="66" t="s">
        <v>132</v>
      </c>
      <c r="I44" s="66" t="s">
        <v>132</v>
      </c>
      <c r="J44" s="66" t="s">
        <v>132</v>
      </c>
      <c r="K44" s="66" t="s">
        <v>132</v>
      </c>
      <c r="L44" s="66" t="s">
        <v>132</v>
      </c>
      <c r="M44" s="66" t="s">
        <v>132</v>
      </c>
      <c r="N44" s="66" t="s">
        <v>132</v>
      </c>
      <c r="O44" s="66" t="s">
        <v>132</v>
      </c>
      <c r="P44" s="66">
        <v>1.6852353144288901E-2</v>
      </c>
      <c r="Q44" s="66" t="s">
        <v>132</v>
      </c>
      <c r="R44" s="66" t="s">
        <v>132</v>
      </c>
      <c r="S44" s="84" t="s">
        <v>132</v>
      </c>
      <c r="T44" s="88">
        <v>1.6852353144288901E-2</v>
      </c>
    </row>
    <row r="45" spans="1:20" x14ac:dyDescent="0.2">
      <c r="A45" s="71" t="s">
        <v>78</v>
      </c>
      <c r="B45" s="79" t="s">
        <v>72</v>
      </c>
      <c r="C45" s="103" t="s">
        <v>132</v>
      </c>
      <c r="D45" s="104" t="s">
        <v>132</v>
      </c>
      <c r="E45" s="67" t="s">
        <v>132</v>
      </c>
      <c r="F45" s="67" t="s">
        <v>132</v>
      </c>
      <c r="G45" s="67" t="s">
        <v>132</v>
      </c>
      <c r="H45" s="67" t="s">
        <v>132</v>
      </c>
      <c r="I45" s="67" t="s">
        <v>132</v>
      </c>
      <c r="J45" s="67" t="s">
        <v>132</v>
      </c>
      <c r="K45" s="67" t="s">
        <v>132</v>
      </c>
      <c r="L45" s="67" t="s">
        <v>132</v>
      </c>
      <c r="M45" s="67" t="s">
        <v>132</v>
      </c>
      <c r="N45" s="67" t="s">
        <v>132</v>
      </c>
      <c r="O45" s="67" t="s">
        <v>132</v>
      </c>
      <c r="P45" s="67" t="s">
        <v>132</v>
      </c>
      <c r="Q45" s="67">
        <v>2.5168751121117957E-4</v>
      </c>
      <c r="R45" s="67" t="s">
        <v>132</v>
      </c>
      <c r="S45" s="85" t="s">
        <v>132</v>
      </c>
      <c r="T45" s="89">
        <v>2.5168751121117957E-4</v>
      </c>
    </row>
    <row r="46" spans="1:20" x14ac:dyDescent="0.2">
      <c r="A46" s="72" t="s">
        <v>26</v>
      </c>
      <c r="B46" s="78" t="s">
        <v>72</v>
      </c>
      <c r="C46" s="105" t="s">
        <v>132</v>
      </c>
      <c r="D46" s="106" t="s">
        <v>132</v>
      </c>
      <c r="E46" s="66" t="s">
        <v>132</v>
      </c>
      <c r="F46" s="66" t="s">
        <v>132</v>
      </c>
      <c r="G46" s="66" t="s">
        <v>132</v>
      </c>
      <c r="H46" s="66" t="s">
        <v>132</v>
      </c>
      <c r="I46" s="66" t="s">
        <v>132</v>
      </c>
      <c r="J46" s="66" t="s">
        <v>132</v>
      </c>
      <c r="K46" s="66" t="s">
        <v>132</v>
      </c>
      <c r="L46" s="66" t="s">
        <v>132</v>
      </c>
      <c r="M46" s="66" t="s">
        <v>132</v>
      </c>
      <c r="N46" s="66" t="s">
        <v>132</v>
      </c>
      <c r="O46" s="66" t="s">
        <v>132</v>
      </c>
      <c r="P46" s="66">
        <v>6.3992888488799797E-3</v>
      </c>
      <c r="Q46" s="66" t="s">
        <v>132</v>
      </c>
      <c r="R46" s="66" t="s">
        <v>132</v>
      </c>
      <c r="S46" s="84" t="s">
        <v>132</v>
      </c>
      <c r="T46" s="88">
        <v>6.3992888488799797E-3</v>
      </c>
    </row>
    <row r="47" spans="1:20" ht="13.5" thickBot="1" x14ac:dyDescent="0.25">
      <c r="A47" s="82" t="s">
        <v>27</v>
      </c>
      <c r="B47" s="81" t="s">
        <v>72</v>
      </c>
      <c r="C47" s="107" t="s">
        <v>132</v>
      </c>
      <c r="D47" s="108" t="s">
        <v>132</v>
      </c>
      <c r="E47" s="74" t="s">
        <v>132</v>
      </c>
      <c r="F47" s="74" t="s">
        <v>132</v>
      </c>
      <c r="G47" s="74" t="s">
        <v>132</v>
      </c>
      <c r="H47" s="74" t="s">
        <v>132</v>
      </c>
      <c r="I47" s="74" t="s">
        <v>132</v>
      </c>
      <c r="J47" s="74" t="s">
        <v>132</v>
      </c>
      <c r="K47" s="74" t="s">
        <v>132</v>
      </c>
      <c r="L47" s="74" t="s">
        <v>132</v>
      </c>
      <c r="M47" s="74" t="s">
        <v>132</v>
      </c>
      <c r="N47" s="74" t="s">
        <v>132</v>
      </c>
      <c r="O47" s="74" t="s">
        <v>132</v>
      </c>
      <c r="P47" s="74" t="s">
        <v>132</v>
      </c>
      <c r="Q47" s="74">
        <v>1.01585363567576E-2</v>
      </c>
      <c r="R47" s="74" t="s">
        <v>132</v>
      </c>
      <c r="S47" s="86" t="s">
        <v>132</v>
      </c>
      <c r="T47" s="75">
        <v>1.01585363567576E-2</v>
      </c>
    </row>
    <row r="48" spans="1:20" ht="14.25" thickTop="1" thickBot="1" x14ac:dyDescent="0.25">
      <c r="A48" s="70" t="s">
        <v>0</v>
      </c>
      <c r="B48" s="80"/>
      <c r="C48" s="101">
        <v>9.2963727545235381E-3</v>
      </c>
      <c r="D48" s="102" t="s">
        <v>132</v>
      </c>
      <c r="E48" s="73">
        <v>1.6547115098777532E-3</v>
      </c>
      <c r="F48" s="73">
        <v>2.2866078146207107E-3</v>
      </c>
      <c r="G48" s="73">
        <v>9.8265230440960352E-4</v>
      </c>
      <c r="H48" s="73">
        <v>1.5529654947072811E-4</v>
      </c>
      <c r="I48" s="73">
        <v>4.1876517822796219E-3</v>
      </c>
      <c r="J48" s="73">
        <v>9.1035908310426505E-5</v>
      </c>
      <c r="K48" s="73">
        <v>3.9091890077485453E-3</v>
      </c>
      <c r="L48" s="73">
        <v>6.4809534136878602E-3</v>
      </c>
      <c r="M48" s="73">
        <v>4.2304922097198186E-4</v>
      </c>
      <c r="N48" s="73">
        <v>1.071010686005018E-4</v>
      </c>
      <c r="O48" s="73" t="s">
        <v>132</v>
      </c>
      <c r="P48" s="73">
        <v>4.2149625547727387E-2</v>
      </c>
      <c r="Q48" s="73">
        <v>1.041022386796878E-2</v>
      </c>
      <c r="R48" s="73">
        <v>1.606516029007529E-5</v>
      </c>
      <c r="S48" s="87">
        <v>2.9699126322919146E-2</v>
      </c>
      <c r="T48" s="90">
        <v>0.11184966223340667</v>
      </c>
    </row>
    <row r="51" spans="1:20" ht="15" x14ac:dyDescent="0.25">
      <c r="A51" s="109" t="s">
        <v>128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</row>
    <row r="52" spans="1:20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13.5" thickBot="1" x14ac:dyDescent="0.25">
      <c r="A53" s="31" t="s">
        <v>133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</row>
    <row r="54" spans="1:20" ht="39" thickBot="1" x14ac:dyDescent="0.25">
      <c r="A54" s="77" t="s">
        <v>65</v>
      </c>
      <c r="B54" s="76" t="s">
        <v>73</v>
      </c>
      <c r="C54" s="91" t="s">
        <v>74</v>
      </c>
      <c r="D54" s="92" t="s">
        <v>75</v>
      </c>
      <c r="E54" s="68" t="s">
        <v>50</v>
      </c>
      <c r="F54" s="68" t="s">
        <v>51</v>
      </c>
      <c r="G54" s="68" t="s">
        <v>52</v>
      </c>
      <c r="H54" s="68" t="s">
        <v>53</v>
      </c>
      <c r="I54" s="68" t="s">
        <v>63</v>
      </c>
      <c r="J54" s="68" t="s">
        <v>54</v>
      </c>
      <c r="K54" s="68" t="s">
        <v>55</v>
      </c>
      <c r="L54" s="68" t="s">
        <v>56</v>
      </c>
      <c r="M54" s="68" t="s">
        <v>57</v>
      </c>
      <c r="N54" s="68" t="s">
        <v>58</v>
      </c>
      <c r="O54" s="68" t="s">
        <v>59</v>
      </c>
      <c r="P54" s="68" t="s">
        <v>60</v>
      </c>
      <c r="Q54" s="68" t="s">
        <v>61</v>
      </c>
      <c r="R54" s="68" t="s">
        <v>81</v>
      </c>
      <c r="S54" s="83" t="s">
        <v>62</v>
      </c>
      <c r="T54" s="69" t="s">
        <v>0</v>
      </c>
    </row>
    <row r="55" spans="1:20" x14ac:dyDescent="0.2">
      <c r="A55" s="72" t="s">
        <v>67</v>
      </c>
      <c r="B55" s="78" t="s">
        <v>68</v>
      </c>
      <c r="C55" s="93">
        <v>0.10677828730159401</v>
      </c>
      <c r="D55" s="94">
        <v>5.30346135384362E-3</v>
      </c>
      <c r="E55" s="66">
        <v>3.6158207372380069E-2</v>
      </c>
      <c r="F55" s="66">
        <v>4.3919228960135892E-2</v>
      </c>
      <c r="G55" s="66">
        <v>5.3131215748888655E-4</v>
      </c>
      <c r="H55" s="66">
        <v>1.255828735882825E-4</v>
      </c>
      <c r="I55" s="66">
        <v>2.3667541560868596E-3</v>
      </c>
      <c r="J55" s="66" t="s">
        <v>132</v>
      </c>
      <c r="K55" s="66">
        <v>9.6602210452524898E-6</v>
      </c>
      <c r="L55" s="66" t="s">
        <v>132</v>
      </c>
      <c r="M55" s="66">
        <v>1.5552955882856517E-3</v>
      </c>
      <c r="N55" s="66">
        <v>1.9706850932315048E-3</v>
      </c>
      <c r="O55" s="66" t="s">
        <v>132</v>
      </c>
      <c r="P55" s="66" t="s">
        <v>132</v>
      </c>
      <c r="Q55" s="66" t="s">
        <v>132</v>
      </c>
      <c r="R55" s="66" t="s">
        <v>132</v>
      </c>
      <c r="S55" s="84">
        <v>1.9301121648414503E-3</v>
      </c>
      <c r="T55" s="88">
        <v>0.20064858724252149</v>
      </c>
    </row>
    <row r="56" spans="1:20" x14ac:dyDescent="0.2">
      <c r="A56" s="71" t="s">
        <v>19</v>
      </c>
      <c r="B56" s="79" t="s">
        <v>68</v>
      </c>
      <c r="C56" s="103">
        <v>1.1196196191447599E-2</v>
      </c>
      <c r="D56" s="104" t="s">
        <v>132</v>
      </c>
      <c r="E56" s="67" t="s">
        <v>132</v>
      </c>
      <c r="F56" s="67" t="s">
        <v>132</v>
      </c>
      <c r="G56" s="67" t="s">
        <v>132</v>
      </c>
      <c r="H56" s="67" t="s">
        <v>132</v>
      </c>
      <c r="I56" s="67" t="s">
        <v>132</v>
      </c>
      <c r="J56" s="67" t="s">
        <v>132</v>
      </c>
      <c r="K56" s="67" t="s">
        <v>132</v>
      </c>
      <c r="L56" s="67" t="s">
        <v>132</v>
      </c>
      <c r="M56" s="67" t="s">
        <v>132</v>
      </c>
      <c r="N56" s="67" t="s">
        <v>132</v>
      </c>
      <c r="O56" s="67" t="s">
        <v>132</v>
      </c>
      <c r="P56" s="67" t="s">
        <v>132</v>
      </c>
      <c r="Q56" s="67" t="s">
        <v>132</v>
      </c>
      <c r="R56" s="67" t="s">
        <v>132</v>
      </c>
      <c r="S56" s="85" t="s">
        <v>132</v>
      </c>
      <c r="T56" s="89">
        <v>1.1196196191447599E-2</v>
      </c>
    </row>
    <row r="57" spans="1:20" x14ac:dyDescent="0.2">
      <c r="A57" s="72" t="s">
        <v>21</v>
      </c>
      <c r="B57" s="78" t="s">
        <v>68</v>
      </c>
      <c r="C57" s="105" t="s">
        <v>132</v>
      </c>
      <c r="D57" s="106" t="s">
        <v>132</v>
      </c>
      <c r="E57" s="66">
        <v>2.4150552613131201E-4</v>
      </c>
      <c r="F57" s="66">
        <v>5.2165193644363502E-4</v>
      </c>
      <c r="G57" s="66" t="s">
        <v>132</v>
      </c>
      <c r="H57" s="66">
        <v>7.7281768362019905E-4</v>
      </c>
      <c r="I57" s="66">
        <v>9.1385691088088604E-3</v>
      </c>
      <c r="J57" s="66" t="s">
        <v>132</v>
      </c>
      <c r="K57" s="66" t="s">
        <v>132</v>
      </c>
      <c r="L57" s="66" t="s">
        <v>132</v>
      </c>
      <c r="M57" s="66" t="s">
        <v>132</v>
      </c>
      <c r="N57" s="66" t="s">
        <v>132</v>
      </c>
      <c r="O57" s="66" t="s">
        <v>132</v>
      </c>
      <c r="P57" s="66" t="s">
        <v>132</v>
      </c>
      <c r="Q57" s="66" t="s">
        <v>132</v>
      </c>
      <c r="R57" s="66" t="s">
        <v>132</v>
      </c>
      <c r="S57" s="84">
        <v>3.8447679760104901E-3</v>
      </c>
      <c r="T57" s="88">
        <v>1.4519312231014497E-2</v>
      </c>
    </row>
    <row r="58" spans="1:20" x14ac:dyDescent="0.2">
      <c r="A58" s="71" t="s">
        <v>22</v>
      </c>
      <c r="B58" s="79" t="s">
        <v>68</v>
      </c>
      <c r="C58" s="103" t="s">
        <v>132</v>
      </c>
      <c r="D58" s="104" t="s">
        <v>132</v>
      </c>
      <c r="E58" s="67" t="s">
        <v>132</v>
      </c>
      <c r="F58" s="67" t="s">
        <v>132</v>
      </c>
      <c r="G58" s="67" t="s">
        <v>132</v>
      </c>
      <c r="H58" s="67" t="s">
        <v>132</v>
      </c>
      <c r="I58" s="67" t="s">
        <v>132</v>
      </c>
      <c r="J58" s="67" t="s">
        <v>132</v>
      </c>
      <c r="K58" s="67">
        <v>3.27481493491639E-3</v>
      </c>
      <c r="L58" s="67" t="s">
        <v>132</v>
      </c>
      <c r="M58" s="67" t="s">
        <v>132</v>
      </c>
      <c r="N58" s="67" t="s">
        <v>132</v>
      </c>
      <c r="O58" s="67" t="s">
        <v>132</v>
      </c>
      <c r="P58" s="67" t="s">
        <v>132</v>
      </c>
      <c r="Q58" s="67" t="s">
        <v>132</v>
      </c>
      <c r="R58" s="67" t="s">
        <v>132</v>
      </c>
      <c r="S58" s="85" t="s">
        <v>132</v>
      </c>
      <c r="T58" s="89">
        <v>3.27481493491639E-3</v>
      </c>
    </row>
    <row r="59" spans="1:20" x14ac:dyDescent="0.2">
      <c r="A59" s="72" t="s">
        <v>69</v>
      </c>
      <c r="B59" s="78" t="s">
        <v>68</v>
      </c>
      <c r="C59" s="105" t="s">
        <v>132</v>
      </c>
      <c r="D59" s="106" t="s">
        <v>132</v>
      </c>
      <c r="E59" s="66">
        <v>2.8980663135757502E-5</v>
      </c>
      <c r="F59" s="66">
        <v>6.2791436794141196E-4</v>
      </c>
      <c r="G59" s="66">
        <v>1.2558287358828201E-4</v>
      </c>
      <c r="H59" s="66">
        <v>1.8354419985979701E-4</v>
      </c>
      <c r="I59" s="66">
        <v>3.4970000183813998E-3</v>
      </c>
      <c r="J59" s="66">
        <v>9.6602210452524898E-6</v>
      </c>
      <c r="K59" s="66" t="s">
        <v>132</v>
      </c>
      <c r="L59" s="66" t="s">
        <v>132</v>
      </c>
      <c r="M59" s="66">
        <v>2.99466852402827E-4</v>
      </c>
      <c r="N59" s="66" t="s">
        <v>132</v>
      </c>
      <c r="O59" s="66" t="s">
        <v>132</v>
      </c>
      <c r="P59" s="66" t="s">
        <v>132</v>
      </c>
      <c r="Q59" s="66" t="s">
        <v>132</v>
      </c>
      <c r="R59" s="66">
        <v>1.9320442090505E-5</v>
      </c>
      <c r="S59" s="84">
        <v>5.8154530692420001E-3</v>
      </c>
      <c r="T59" s="88">
        <v>1.0606922707687233E-2</v>
      </c>
    </row>
    <row r="60" spans="1:20" x14ac:dyDescent="0.2">
      <c r="A60" s="71" t="s">
        <v>77</v>
      </c>
      <c r="B60" s="79" t="s">
        <v>70</v>
      </c>
      <c r="C60" s="103">
        <v>4.8301105226262499E-4</v>
      </c>
      <c r="D60" s="104" t="s">
        <v>132</v>
      </c>
      <c r="E60" s="67" t="s">
        <v>132</v>
      </c>
      <c r="F60" s="67" t="s">
        <v>132</v>
      </c>
      <c r="G60" s="67" t="s">
        <v>132</v>
      </c>
      <c r="H60" s="67" t="s">
        <v>132</v>
      </c>
      <c r="I60" s="67">
        <v>1.2461685148375699E-3</v>
      </c>
      <c r="J60" s="67" t="s">
        <v>132</v>
      </c>
      <c r="K60" s="67">
        <v>2.76282321894221E-3</v>
      </c>
      <c r="L60" s="67">
        <v>3.7674862076484702E-4</v>
      </c>
      <c r="M60" s="67" t="s">
        <v>132</v>
      </c>
      <c r="N60" s="67" t="s">
        <v>132</v>
      </c>
      <c r="O60" s="67" t="s">
        <v>132</v>
      </c>
      <c r="P60" s="67" t="s">
        <v>132</v>
      </c>
      <c r="Q60" s="67" t="s">
        <v>132</v>
      </c>
      <c r="R60" s="67">
        <v>1.9320442090505E-5</v>
      </c>
      <c r="S60" s="85">
        <v>6.5689503107717003E-4</v>
      </c>
      <c r="T60" s="89">
        <v>5.5449668799749264E-3</v>
      </c>
    </row>
    <row r="61" spans="1:20" x14ac:dyDescent="0.2">
      <c r="A61" s="72" t="s">
        <v>28</v>
      </c>
      <c r="B61" s="78" t="s">
        <v>70</v>
      </c>
      <c r="C61" s="105" t="s">
        <v>132</v>
      </c>
      <c r="D61" s="106" t="s">
        <v>132</v>
      </c>
      <c r="E61" s="66" t="s">
        <v>132</v>
      </c>
      <c r="F61" s="66" t="s">
        <v>132</v>
      </c>
      <c r="G61" s="66" t="s">
        <v>132</v>
      </c>
      <c r="H61" s="66" t="s">
        <v>132</v>
      </c>
      <c r="I61" s="66" t="s">
        <v>132</v>
      </c>
      <c r="J61" s="66" t="s">
        <v>132</v>
      </c>
      <c r="K61" s="66" t="s">
        <v>132</v>
      </c>
      <c r="L61" s="66" t="s">
        <v>132</v>
      </c>
      <c r="M61" s="66" t="s">
        <v>132</v>
      </c>
      <c r="N61" s="66" t="s">
        <v>132</v>
      </c>
      <c r="O61" s="66" t="s">
        <v>132</v>
      </c>
      <c r="P61" s="66" t="s">
        <v>132</v>
      </c>
      <c r="Q61" s="66" t="s">
        <v>132</v>
      </c>
      <c r="R61" s="66" t="s">
        <v>132</v>
      </c>
      <c r="S61" s="84">
        <v>1.4103922726068599E-3</v>
      </c>
      <c r="T61" s="88">
        <v>1.4103922726068599E-3</v>
      </c>
    </row>
    <row r="62" spans="1:20" x14ac:dyDescent="0.2">
      <c r="A62" s="71" t="s">
        <v>29</v>
      </c>
      <c r="B62" s="79" t="s">
        <v>70</v>
      </c>
      <c r="C62" s="103" t="s">
        <v>132</v>
      </c>
      <c r="D62" s="104" t="s">
        <v>132</v>
      </c>
      <c r="E62" s="67" t="s">
        <v>132</v>
      </c>
      <c r="F62" s="67" t="s">
        <v>132</v>
      </c>
      <c r="G62" s="67" t="s">
        <v>132</v>
      </c>
      <c r="H62" s="67" t="s">
        <v>132</v>
      </c>
      <c r="I62" s="67">
        <v>2.02864641950302E-4</v>
      </c>
      <c r="J62" s="67" t="s">
        <v>132</v>
      </c>
      <c r="K62" s="67" t="s">
        <v>132</v>
      </c>
      <c r="L62" s="67" t="s">
        <v>132</v>
      </c>
      <c r="M62" s="67" t="s">
        <v>132</v>
      </c>
      <c r="N62" s="67" t="s">
        <v>132</v>
      </c>
      <c r="O62" s="67" t="s">
        <v>132</v>
      </c>
      <c r="P62" s="67" t="s">
        <v>132</v>
      </c>
      <c r="Q62" s="67" t="s">
        <v>132</v>
      </c>
      <c r="R62" s="67" t="s">
        <v>132</v>
      </c>
      <c r="S62" s="85">
        <v>1.0819447570682801E-3</v>
      </c>
      <c r="T62" s="89">
        <v>1.2848093990185821E-3</v>
      </c>
    </row>
    <row r="63" spans="1:20" x14ac:dyDescent="0.2">
      <c r="A63" s="72" t="s">
        <v>30</v>
      </c>
      <c r="B63" s="78" t="s">
        <v>70</v>
      </c>
      <c r="C63" s="105" t="s">
        <v>132</v>
      </c>
      <c r="D63" s="106" t="s">
        <v>132</v>
      </c>
      <c r="E63" s="66" t="s">
        <v>132</v>
      </c>
      <c r="F63" s="66">
        <v>2.7145221137159499E-3</v>
      </c>
      <c r="G63" s="66" t="s">
        <v>132</v>
      </c>
      <c r="H63" s="66">
        <v>4.6369061017212002E-4</v>
      </c>
      <c r="I63" s="66">
        <v>7.1485635734868497E-4</v>
      </c>
      <c r="J63" s="66" t="s">
        <v>132</v>
      </c>
      <c r="K63" s="66" t="s">
        <v>132</v>
      </c>
      <c r="L63" s="66" t="s">
        <v>132</v>
      </c>
      <c r="M63" s="66" t="s">
        <v>132</v>
      </c>
      <c r="N63" s="66" t="s">
        <v>132</v>
      </c>
      <c r="O63" s="66" t="s">
        <v>132</v>
      </c>
      <c r="P63" s="66" t="s">
        <v>132</v>
      </c>
      <c r="Q63" s="66" t="s">
        <v>132</v>
      </c>
      <c r="R63" s="66" t="s">
        <v>132</v>
      </c>
      <c r="S63" s="84">
        <v>3.2487323375184098E-2</v>
      </c>
      <c r="T63" s="88">
        <v>3.638039245642085E-2</v>
      </c>
    </row>
    <row r="64" spans="1:20" x14ac:dyDescent="0.2">
      <c r="A64" s="71" t="s">
        <v>31</v>
      </c>
      <c r="B64" s="79" t="s">
        <v>70</v>
      </c>
      <c r="C64" s="103" t="s">
        <v>132</v>
      </c>
      <c r="D64" s="104" t="s">
        <v>132</v>
      </c>
      <c r="E64" s="67">
        <v>3.7674862076484702E-4</v>
      </c>
      <c r="F64" s="67">
        <v>5.3131215748888697E-3</v>
      </c>
      <c r="G64" s="67" t="s">
        <v>132</v>
      </c>
      <c r="H64" s="67">
        <v>3.2844751553858502E-4</v>
      </c>
      <c r="I64" s="67" t="s">
        <v>132</v>
      </c>
      <c r="J64" s="67" t="s">
        <v>132</v>
      </c>
      <c r="K64" s="67" t="s">
        <v>132</v>
      </c>
      <c r="L64" s="67" t="s">
        <v>132</v>
      </c>
      <c r="M64" s="67" t="s">
        <v>132</v>
      </c>
      <c r="N64" s="67" t="s">
        <v>132</v>
      </c>
      <c r="O64" s="67" t="s">
        <v>132</v>
      </c>
      <c r="P64" s="67" t="s">
        <v>132</v>
      </c>
      <c r="Q64" s="67" t="s">
        <v>132</v>
      </c>
      <c r="R64" s="67" t="s">
        <v>132</v>
      </c>
      <c r="S64" s="85">
        <v>6.3757458898666501E-4</v>
      </c>
      <c r="T64" s="89">
        <v>6.6558923001789668E-3</v>
      </c>
    </row>
    <row r="65" spans="1:20" x14ac:dyDescent="0.2">
      <c r="A65" s="72" t="s">
        <v>20</v>
      </c>
      <c r="B65" s="78" t="s">
        <v>70</v>
      </c>
      <c r="C65" s="105" t="s">
        <v>132</v>
      </c>
      <c r="D65" s="106" t="s">
        <v>132</v>
      </c>
      <c r="E65" s="66" t="s">
        <v>132</v>
      </c>
      <c r="F65" s="66" t="s">
        <v>132</v>
      </c>
      <c r="G65" s="66">
        <v>2.02864641950302E-4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 t="s">
        <v>132</v>
      </c>
      <c r="M65" s="66" t="s">
        <v>132</v>
      </c>
      <c r="N65" s="66" t="s">
        <v>132</v>
      </c>
      <c r="O65" s="66" t="s">
        <v>132</v>
      </c>
      <c r="P65" s="66" t="s">
        <v>132</v>
      </c>
      <c r="Q65" s="66" t="s">
        <v>132</v>
      </c>
      <c r="R65" s="66" t="s">
        <v>132</v>
      </c>
      <c r="S65" s="84" t="s">
        <v>132</v>
      </c>
      <c r="T65" s="88">
        <v>2.02864641950302E-4</v>
      </c>
    </row>
    <row r="66" spans="1:20" x14ac:dyDescent="0.2">
      <c r="A66" s="71" t="s">
        <v>32</v>
      </c>
      <c r="B66" s="79" t="s">
        <v>70</v>
      </c>
      <c r="C66" s="103" t="s">
        <v>132</v>
      </c>
      <c r="D66" s="104" t="s">
        <v>132</v>
      </c>
      <c r="E66" s="67">
        <v>4.8301105226262501E-5</v>
      </c>
      <c r="F66" s="67">
        <v>6.4723481003191698E-4</v>
      </c>
      <c r="G66" s="67" t="s">
        <v>132</v>
      </c>
      <c r="H66" s="67">
        <v>9.6602210452524898E-6</v>
      </c>
      <c r="I66" s="67">
        <v>8.5009945198221998E-4</v>
      </c>
      <c r="J66" s="67" t="s">
        <v>132</v>
      </c>
      <c r="K66" s="67">
        <v>8.6941989407272494E-5</v>
      </c>
      <c r="L66" s="67" t="s">
        <v>132</v>
      </c>
      <c r="M66" s="67" t="s">
        <v>132</v>
      </c>
      <c r="N66" s="67" t="s">
        <v>132</v>
      </c>
      <c r="O66" s="67" t="s">
        <v>132</v>
      </c>
      <c r="P66" s="67" t="s">
        <v>132</v>
      </c>
      <c r="Q66" s="67" t="s">
        <v>132</v>
      </c>
      <c r="R66" s="67" t="s">
        <v>132</v>
      </c>
      <c r="S66" s="85">
        <v>1.45482928941503E-2</v>
      </c>
      <c r="T66" s="89">
        <v>1.6190530471843226E-2</v>
      </c>
    </row>
    <row r="67" spans="1:20" x14ac:dyDescent="0.2">
      <c r="A67" s="72" t="s">
        <v>23</v>
      </c>
      <c r="B67" s="78" t="s">
        <v>71</v>
      </c>
      <c r="C67" s="105" t="s">
        <v>132</v>
      </c>
      <c r="D67" s="106" t="s">
        <v>132</v>
      </c>
      <c r="E67" s="66" t="s">
        <v>132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 t="s">
        <v>132</v>
      </c>
      <c r="K67" s="66" t="s">
        <v>132</v>
      </c>
      <c r="L67" s="66">
        <v>1.42391658207022E-3</v>
      </c>
      <c r="M67" s="66" t="s">
        <v>132</v>
      </c>
      <c r="N67" s="66" t="s">
        <v>132</v>
      </c>
      <c r="O67" s="66" t="s">
        <v>132</v>
      </c>
      <c r="P67" s="66" t="s">
        <v>132</v>
      </c>
      <c r="Q67" s="66" t="s">
        <v>132</v>
      </c>
      <c r="R67" s="66" t="s">
        <v>132</v>
      </c>
      <c r="S67" s="84" t="s">
        <v>132</v>
      </c>
      <c r="T67" s="88">
        <v>1.42391658207022E-3</v>
      </c>
    </row>
    <row r="68" spans="1:20" x14ac:dyDescent="0.2">
      <c r="A68" s="71" t="s">
        <v>24</v>
      </c>
      <c r="B68" s="79" t="s">
        <v>72</v>
      </c>
      <c r="C68" s="103" t="s">
        <v>132</v>
      </c>
      <c r="D68" s="104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 t="s">
        <v>132</v>
      </c>
      <c r="M68" s="67" t="s">
        <v>132</v>
      </c>
      <c r="N68" s="67" t="s">
        <v>132</v>
      </c>
      <c r="O68" s="67" t="s">
        <v>132</v>
      </c>
      <c r="P68" s="67">
        <v>1.02514265732219E-2</v>
      </c>
      <c r="Q68" s="67" t="s">
        <v>132</v>
      </c>
      <c r="R68" s="67" t="s">
        <v>132</v>
      </c>
      <c r="S68" s="85" t="s">
        <v>132</v>
      </c>
      <c r="T68" s="89">
        <v>1.02514265732219E-2</v>
      </c>
    </row>
    <row r="69" spans="1:20" x14ac:dyDescent="0.2">
      <c r="A69" s="72" t="s">
        <v>25</v>
      </c>
      <c r="B69" s="78" t="s">
        <v>72</v>
      </c>
      <c r="C69" s="105" t="s">
        <v>132</v>
      </c>
      <c r="D69" s="106" t="s">
        <v>132</v>
      </c>
      <c r="E69" s="66" t="s">
        <v>132</v>
      </c>
      <c r="F69" s="66" t="s">
        <v>132</v>
      </c>
      <c r="G69" s="66" t="s">
        <v>132</v>
      </c>
      <c r="H69" s="66" t="s">
        <v>132</v>
      </c>
      <c r="I69" s="66" t="s">
        <v>132</v>
      </c>
      <c r="J69" s="66" t="s">
        <v>132</v>
      </c>
      <c r="K69" s="66" t="s">
        <v>132</v>
      </c>
      <c r="L69" s="66" t="s">
        <v>132</v>
      </c>
      <c r="M69" s="66" t="s">
        <v>132</v>
      </c>
      <c r="N69" s="66" t="s">
        <v>132</v>
      </c>
      <c r="O69" s="66" t="s">
        <v>132</v>
      </c>
      <c r="P69" s="66">
        <v>1.9718443197569401E-2</v>
      </c>
      <c r="Q69" s="66" t="s">
        <v>132</v>
      </c>
      <c r="R69" s="66" t="s">
        <v>132</v>
      </c>
      <c r="S69" s="84" t="s">
        <v>132</v>
      </c>
      <c r="T69" s="88">
        <v>1.9718443197569401E-2</v>
      </c>
    </row>
    <row r="70" spans="1:20" x14ac:dyDescent="0.2">
      <c r="A70" s="71" t="s">
        <v>78</v>
      </c>
      <c r="B70" s="79" t="s">
        <v>72</v>
      </c>
      <c r="C70" s="103" t="s">
        <v>132</v>
      </c>
      <c r="D70" s="104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67" t="s">
        <v>132</v>
      </c>
      <c r="Q70" s="67">
        <v>8.69419894072724E-5</v>
      </c>
      <c r="R70" s="67" t="s">
        <v>132</v>
      </c>
      <c r="S70" s="85" t="s">
        <v>132</v>
      </c>
      <c r="T70" s="89">
        <v>8.69419894072724E-5</v>
      </c>
    </row>
    <row r="71" spans="1:20" x14ac:dyDescent="0.2">
      <c r="A71" s="72" t="s">
        <v>26</v>
      </c>
      <c r="B71" s="78" t="s">
        <v>72</v>
      </c>
      <c r="C71" s="105" t="s">
        <v>132</v>
      </c>
      <c r="D71" s="106" t="s">
        <v>132</v>
      </c>
      <c r="E71" s="66" t="s">
        <v>132</v>
      </c>
      <c r="F71" s="66" t="s">
        <v>132</v>
      </c>
      <c r="G71" s="66" t="s">
        <v>132</v>
      </c>
      <c r="H71" s="66" t="s">
        <v>132</v>
      </c>
      <c r="I71" s="66" t="s">
        <v>132</v>
      </c>
      <c r="J71" s="66" t="s">
        <v>132</v>
      </c>
      <c r="K71" s="66" t="s">
        <v>132</v>
      </c>
      <c r="L71" s="66" t="s">
        <v>132</v>
      </c>
      <c r="M71" s="66" t="s">
        <v>132</v>
      </c>
      <c r="N71" s="66" t="s">
        <v>132</v>
      </c>
      <c r="O71" s="66" t="s">
        <v>132</v>
      </c>
      <c r="P71" s="66">
        <v>3.9123895233272596E-3</v>
      </c>
      <c r="Q71" s="66" t="s">
        <v>132</v>
      </c>
      <c r="R71" s="66" t="s">
        <v>132</v>
      </c>
      <c r="S71" s="84" t="s">
        <v>132</v>
      </c>
      <c r="T71" s="88">
        <v>3.9123895233272596E-3</v>
      </c>
    </row>
    <row r="72" spans="1:20" ht="13.5" thickBot="1" x14ac:dyDescent="0.25">
      <c r="A72" s="82" t="s">
        <v>27</v>
      </c>
      <c r="B72" s="81" t="s">
        <v>72</v>
      </c>
      <c r="C72" s="107" t="s">
        <v>132</v>
      </c>
      <c r="D72" s="108" t="s">
        <v>132</v>
      </c>
      <c r="E72" s="74" t="s">
        <v>132</v>
      </c>
      <c r="F72" s="74" t="s">
        <v>132</v>
      </c>
      <c r="G72" s="74" t="s">
        <v>132</v>
      </c>
      <c r="H72" s="74" t="s">
        <v>132</v>
      </c>
      <c r="I72" s="74" t="s">
        <v>132</v>
      </c>
      <c r="J72" s="74" t="s">
        <v>132</v>
      </c>
      <c r="K72" s="74" t="s">
        <v>132</v>
      </c>
      <c r="L72" s="74" t="s">
        <v>132</v>
      </c>
      <c r="M72" s="74" t="s">
        <v>132</v>
      </c>
      <c r="N72" s="74" t="s">
        <v>132</v>
      </c>
      <c r="O72" s="74" t="s">
        <v>132</v>
      </c>
      <c r="P72" s="74" t="s">
        <v>132</v>
      </c>
      <c r="Q72" s="74">
        <v>2.85362928847615E-3</v>
      </c>
      <c r="R72" s="74" t="s">
        <v>132</v>
      </c>
      <c r="S72" s="86" t="s">
        <v>132</v>
      </c>
      <c r="T72" s="75">
        <v>2.85362928847615E-3</v>
      </c>
    </row>
    <row r="73" spans="1:20" ht="14.25" thickTop="1" thickBot="1" x14ac:dyDescent="0.25">
      <c r="A73" s="70" t="s">
        <v>0</v>
      </c>
      <c r="B73" s="80"/>
      <c r="C73" s="101">
        <v>0.12376095589914786</v>
      </c>
      <c r="D73" s="102" t="s">
        <v>132</v>
      </c>
      <c r="E73" s="73">
        <v>3.6853743287638255E-2</v>
      </c>
      <c r="F73" s="73">
        <v>5.3743673763157682E-2</v>
      </c>
      <c r="G73" s="73">
        <v>8.5975967302747065E-4</v>
      </c>
      <c r="H73" s="73">
        <v>1.8837431038242361E-3</v>
      </c>
      <c r="I73" s="73">
        <v>1.8016312249395896E-2</v>
      </c>
      <c r="J73" s="73">
        <v>9.6602210452524898E-6</v>
      </c>
      <c r="K73" s="73">
        <v>6.1342403643111247E-3</v>
      </c>
      <c r="L73" s="73">
        <v>1.800665202835067E-3</v>
      </c>
      <c r="M73" s="73">
        <v>1.8547624406884786E-3</v>
      </c>
      <c r="N73" s="73">
        <v>1.9706850932315048E-3</v>
      </c>
      <c r="O73" s="73" t="s">
        <v>132</v>
      </c>
      <c r="P73" s="73">
        <v>3.3882259294118561E-2</v>
      </c>
      <c r="Q73" s="73">
        <v>2.9405712778834223E-3</v>
      </c>
      <c r="R73" s="73">
        <v>3.864088418101E-5</v>
      </c>
      <c r="S73" s="87">
        <v>6.2412756129167316E-2</v>
      </c>
      <c r="T73" s="90">
        <v>0.34616242888365317</v>
      </c>
    </row>
    <row r="76" spans="1:20" ht="15" x14ac:dyDescent="0.25">
      <c r="A76" s="109" t="s">
        <v>131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</row>
    <row r="77" spans="1:20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</row>
    <row r="78" spans="1:20" ht="13.5" thickBot="1" x14ac:dyDescent="0.25">
      <c r="A78" s="31" t="s">
        <v>133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</row>
    <row r="79" spans="1:20" ht="39" thickBot="1" x14ac:dyDescent="0.25">
      <c r="A79" s="77" t="s">
        <v>65</v>
      </c>
      <c r="B79" s="76" t="s">
        <v>73</v>
      </c>
      <c r="C79" s="91" t="s">
        <v>74</v>
      </c>
      <c r="D79" s="92" t="s">
        <v>75</v>
      </c>
      <c r="E79" s="68" t="s">
        <v>50</v>
      </c>
      <c r="F79" s="68" t="s">
        <v>51</v>
      </c>
      <c r="G79" s="68" t="s">
        <v>52</v>
      </c>
      <c r="H79" s="68" t="s">
        <v>53</v>
      </c>
      <c r="I79" s="68" t="s">
        <v>63</v>
      </c>
      <c r="J79" s="68" t="s">
        <v>54</v>
      </c>
      <c r="K79" s="68" t="s">
        <v>55</v>
      </c>
      <c r="L79" s="68" t="s">
        <v>56</v>
      </c>
      <c r="M79" s="68" t="s">
        <v>57</v>
      </c>
      <c r="N79" s="68" t="s">
        <v>58</v>
      </c>
      <c r="O79" s="68" t="s">
        <v>59</v>
      </c>
      <c r="P79" s="68" t="s">
        <v>60</v>
      </c>
      <c r="Q79" s="68" t="s">
        <v>61</v>
      </c>
      <c r="R79" s="68" t="s">
        <v>81</v>
      </c>
      <c r="S79" s="83" t="s">
        <v>62</v>
      </c>
      <c r="T79" s="69" t="s">
        <v>0</v>
      </c>
    </row>
    <row r="80" spans="1:20" x14ac:dyDescent="0.2">
      <c r="A80" s="72" t="s">
        <v>67</v>
      </c>
      <c r="B80" s="78" t="s">
        <v>68</v>
      </c>
      <c r="C80" s="93">
        <v>1.6323865491348348E-3</v>
      </c>
      <c r="D80" s="94">
        <v>1.9204547636880401E-5</v>
      </c>
      <c r="E80" s="66">
        <v>3.264773098269662E-4</v>
      </c>
      <c r="F80" s="66">
        <v>4.0329550037448904E-4</v>
      </c>
      <c r="G80" s="66" t="s">
        <v>132</v>
      </c>
      <c r="H80" s="66" t="s">
        <v>132</v>
      </c>
      <c r="I80" s="66">
        <v>7.6818190547521699E-5</v>
      </c>
      <c r="J80" s="66" t="s">
        <v>132</v>
      </c>
      <c r="K80" s="66" t="s">
        <v>132</v>
      </c>
      <c r="L80" s="66" t="s">
        <v>132</v>
      </c>
      <c r="M80" s="66" t="s">
        <v>132</v>
      </c>
      <c r="N80" s="66" t="s">
        <v>132</v>
      </c>
      <c r="O80" s="66" t="s">
        <v>132</v>
      </c>
      <c r="P80" s="66" t="s">
        <v>132</v>
      </c>
      <c r="Q80" s="66" t="s">
        <v>132</v>
      </c>
      <c r="R80" s="66" t="s">
        <v>132</v>
      </c>
      <c r="S80" s="84" t="s">
        <v>132</v>
      </c>
      <c r="T80" s="88">
        <v>2.4581820975206918E-3</v>
      </c>
    </row>
    <row r="81" spans="1:20" x14ac:dyDescent="0.2">
      <c r="A81" s="71" t="s">
        <v>19</v>
      </c>
      <c r="B81" s="79" t="s">
        <v>68</v>
      </c>
      <c r="C81" s="103">
        <v>4.4170459564824997E-4</v>
      </c>
      <c r="D81" s="104" t="s">
        <v>132</v>
      </c>
      <c r="E81" s="67" t="s">
        <v>132</v>
      </c>
      <c r="F81" s="67" t="s">
        <v>132</v>
      </c>
      <c r="G81" s="67" t="s">
        <v>132</v>
      </c>
      <c r="H81" s="67" t="s">
        <v>132</v>
      </c>
      <c r="I81" s="67" t="s">
        <v>132</v>
      </c>
      <c r="J81" s="67" t="s">
        <v>132</v>
      </c>
      <c r="K81" s="67" t="s">
        <v>132</v>
      </c>
      <c r="L81" s="67" t="s">
        <v>132</v>
      </c>
      <c r="M81" s="67" t="s">
        <v>132</v>
      </c>
      <c r="N81" s="67" t="s">
        <v>132</v>
      </c>
      <c r="O81" s="67" t="s">
        <v>132</v>
      </c>
      <c r="P81" s="67" t="s">
        <v>132</v>
      </c>
      <c r="Q81" s="67" t="s">
        <v>132</v>
      </c>
      <c r="R81" s="67" t="s">
        <v>132</v>
      </c>
      <c r="S81" s="85" t="s">
        <v>132</v>
      </c>
      <c r="T81" s="89">
        <v>4.4170459564824997E-4</v>
      </c>
    </row>
    <row r="82" spans="1:20" x14ac:dyDescent="0.2">
      <c r="A82" s="72" t="s">
        <v>21</v>
      </c>
      <c r="B82" s="78" t="s">
        <v>68</v>
      </c>
      <c r="C82" s="105" t="s">
        <v>132</v>
      </c>
      <c r="D82" s="106" t="s">
        <v>132</v>
      </c>
      <c r="E82" s="66">
        <v>1.9204547636880401E-5</v>
      </c>
      <c r="F82" s="66">
        <v>1.9204547636880401E-5</v>
      </c>
      <c r="G82" s="66" t="s">
        <v>132</v>
      </c>
      <c r="H82" s="66">
        <v>3.8409095273760802E-5</v>
      </c>
      <c r="I82" s="66">
        <v>1.3443183345816299E-4</v>
      </c>
      <c r="J82" s="66" t="s">
        <v>132</v>
      </c>
      <c r="K82" s="66" t="s">
        <v>132</v>
      </c>
      <c r="L82" s="66" t="s">
        <v>132</v>
      </c>
      <c r="M82" s="66" t="s">
        <v>132</v>
      </c>
      <c r="N82" s="66" t="s">
        <v>132</v>
      </c>
      <c r="O82" s="66" t="s">
        <v>132</v>
      </c>
      <c r="P82" s="66" t="s">
        <v>132</v>
      </c>
      <c r="Q82" s="66" t="s">
        <v>132</v>
      </c>
      <c r="R82" s="66" t="s">
        <v>132</v>
      </c>
      <c r="S82" s="84">
        <v>1.1522728582128201E-4</v>
      </c>
      <c r="T82" s="88">
        <v>3.2647730982696664E-4</v>
      </c>
    </row>
    <row r="83" spans="1:20" x14ac:dyDescent="0.2">
      <c r="A83" s="71" t="s">
        <v>22</v>
      </c>
      <c r="B83" s="79" t="s">
        <v>68</v>
      </c>
      <c r="C83" s="103" t="s">
        <v>132</v>
      </c>
      <c r="D83" s="104" t="s">
        <v>132</v>
      </c>
      <c r="E83" s="67" t="s">
        <v>132</v>
      </c>
      <c r="F83" s="67" t="s">
        <v>132</v>
      </c>
      <c r="G83" s="67" t="s">
        <v>132</v>
      </c>
      <c r="H83" s="67" t="s">
        <v>132</v>
      </c>
      <c r="I83" s="67" t="s">
        <v>132</v>
      </c>
      <c r="J83" s="67" t="s">
        <v>132</v>
      </c>
      <c r="K83" s="67">
        <v>9.6022738184402097E-5</v>
      </c>
      <c r="L83" s="67" t="s">
        <v>132</v>
      </c>
      <c r="M83" s="67" t="s">
        <v>132</v>
      </c>
      <c r="N83" s="67" t="s">
        <v>132</v>
      </c>
      <c r="O83" s="67" t="s">
        <v>132</v>
      </c>
      <c r="P83" s="67" t="s">
        <v>132</v>
      </c>
      <c r="Q83" s="67" t="s">
        <v>132</v>
      </c>
      <c r="R83" s="67" t="s">
        <v>132</v>
      </c>
      <c r="S83" s="85" t="s">
        <v>132</v>
      </c>
      <c r="T83" s="89">
        <v>9.6022738184402097E-5</v>
      </c>
    </row>
    <row r="84" spans="1:20" x14ac:dyDescent="0.2">
      <c r="A84" s="72" t="s">
        <v>69</v>
      </c>
      <c r="B84" s="78" t="s">
        <v>68</v>
      </c>
      <c r="C84" s="105" t="s">
        <v>132</v>
      </c>
      <c r="D84" s="106" t="s">
        <v>132</v>
      </c>
      <c r="E84" s="66" t="s">
        <v>132</v>
      </c>
      <c r="F84" s="66" t="s">
        <v>132</v>
      </c>
      <c r="G84" s="66">
        <v>1.9204547636880401E-5</v>
      </c>
      <c r="H84" s="66" t="s">
        <v>132</v>
      </c>
      <c r="I84" s="66">
        <v>3.0727276219008701E-4</v>
      </c>
      <c r="J84" s="66" t="s">
        <v>132</v>
      </c>
      <c r="K84" s="66" t="s">
        <v>132</v>
      </c>
      <c r="L84" s="66" t="s">
        <v>132</v>
      </c>
      <c r="M84" s="66">
        <v>1.9204547636880401E-5</v>
      </c>
      <c r="N84" s="66" t="s">
        <v>132</v>
      </c>
      <c r="O84" s="66" t="s">
        <v>132</v>
      </c>
      <c r="P84" s="66" t="s">
        <v>132</v>
      </c>
      <c r="Q84" s="66" t="s">
        <v>132</v>
      </c>
      <c r="R84" s="66" t="s">
        <v>132</v>
      </c>
      <c r="S84" s="84">
        <v>1.0946592153021799E-3</v>
      </c>
      <c r="T84" s="88">
        <v>1.4403410727660277E-3</v>
      </c>
    </row>
    <row r="85" spans="1:20" x14ac:dyDescent="0.2">
      <c r="A85" s="71" t="s">
        <v>77</v>
      </c>
      <c r="B85" s="79" t="s">
        <v>70</v>
      </c>
      <c r="C85" s="103">
        <v>5.7613642910641301E-5</v>
      </c>
      <c r="D85" s="104" t="s">
        <v>132</v>
      </c>
      <c r="E85" s="67" t="s">
        <v>132</v>
      </c>
      <c r="F85" s="67" t="s">
        <v>132</v>
      </c>
      <c r="G85" s="67" t="s">
        <v>132</v>
      </c>
      <c r="H85" s="67" t="s">
        <v>132</v>
      </c>
      <c r="I85" s="67">
        <v>9.6022738184402097E-5</v>
      </c>
      <c r="J85" s="67" t="s">
        <v>132</v>
      </c>
      <c r="K85" s="67">
        <v>1.3443183345816299E-4</v>
      </c>
      <c r="L85" s="67">
        <v>3.8409095273760802E-5</v>
      </c>
      <c r="M85" s="67" t="s">
        <v>132</v>
      </c>
      <c r="N85" s="67" t="s">
        <v>132</v>
      </c>
      <c r="O85" s="67" t="s">
        <v>132</v>
      </c>
      <c r="P85" s="67" t="s">
        <v>132</v>
      </c>
      <c r="Q85" s="67" t="s">
        <v>132</v>
      </c>
      <c r="R85" s="67" t="s">
        <v>132</v>
      </c>
      <c r="S85" s="85">
        <v>1.72840928731924E-4</v>
      </c>
      <c r="T85" s="89">
        <v>4.9931823855889129E-4</v>
      </c>
    </row>
    <row r="86" spans="1:20" x14ac:dyDescent="0.2">
      <c r="A86" s="72" t="s">
        <v>28</v>
      </c>
      <c r="B86" s="78" t="s">
        <v>70</v>
      </c>
      <c r="C86" s="105" t="s">
        <v>132</v>
      </c>
      <c r="D86" s="106" t="s">
        <v>132</v>
      </c>
      <c r="E86" s="66" t="s">
        <v>132</v>
      </c>
      <c r="F86" s="66" t="s">
        <v>132</v>
      </c>
      <c r="G86" s="66" t="s">
        <v>132</v>
      </c>
      <c r="H86" s="66" t="s">
        <v>132</v>
      </c>
      <c r="I86" s="66" t="s">
        <v>132</v>
      </c>
      <c r="J86" s="66" t="s">
        <v>132</v>
      </c>
      <c r="K86" s="66" t="s">
        <v>132</v>
      </c>
      <c r="L86" s="66" t="s">
        <v>132</v>
      </c>
      <c r="M86" s="66" t="s">
        <v>132</v>
      </c>
      <c r="N86" s="66" t="s">
        <v>132</v>
      </c>
      <c r="O86" s="66" t="s">
        <v>132</v>
      </c>
      <c r="P86" s="66" t="s">
        <v>132</v>
      </c>
      <c r="Q86" s="66" t="s">
        <v>132</v>
      </c>
      <c r="R86" s="66" t="s">
        <v>132</v>
      </c>
      <c r="S86" s="84" t="s">
        <v>132</v>
      </c>
      <c r="T86" s="88" t="s">
        <v>132</v>
      </c>
    </row>
    <row r="87" spans="1:20" x14ac:dyDescent="0.2">
      <c r="A87" s="71" t="s">
        <v>29</v>
      </c>
      <c r="B87" s="79" t="s">
        <v>70</v>
      </c>
      <c r="C87" s="103" t="s">
        <v>132</v>
      </c>
      <c r="D87" s="104" t="s">
        <v>132</v>
      </c>
      <c r="E87" s="67" t="s">
        <v>132</v>
      </c>
      <c r="F87" s="67" t="s">
        <v>132</v>
      </c>
      <c r="G87" s="67" t="s">
        <v>132</v>
      </c>
      <c r="H87" s="67" t="s">
        <v>132</v>
      </c>
      <c r="I87" s="67" t="s">
        <v>132</v>
      </c>
      <c r="J87" s="67" t="s">
        <v>132</v>
      </c>
      <c r="K87" s="67" t="s">
        <v>132</v>
      </c>
      <c r="L87" s="67" t="s">
        <v>132</v>
      </c>
      <c r="M87" s="67" t="s">
        <v>132</v>
      </c>
      <c r="N87" s="67" t="s">
        <v>132</v>
      </c>
      <c r="O87" s="67" t="s">
        <v>132</v>
      </c>
      <c r="P87" s="67" t="s">
        <v>132</v>
      </c>
      <c r="Q87" s="67" t="s">
        <v>132</v>
      </c>
      <c r="R87" s="67" t="s">
        <v>132</v>
      </c>
      <c r="S87" s="85" t="s">
        <v>132</v>
      </c>
      <c r="T87" s="89" t="s">
        <v>132</v>
      </c>
    </row>
    <row r="88" spans="1:20" x14ac:dyDescent="0.2">
      <c r="A88" s="72" t="s">
        <v>30</v>
      </c>
      <c r="B88" s="78" t="s">
        <v>70</v>
      </c>
      <c r="C88" s="105" t="s">
        <v>132</v>
      </c>
      <c r="D88" s="106" t="s">
        <v>132</v>
      </c>
      <c r="E88" s="66" t="s">
        <v>132</v>
      </c>
      <c r="F88" s="66" t="s">
        <v>132</v>
      </c>
      <c r="G88" s="66" t="s">
        <v>132</v>
      </c>
      <c r="H88" s="66">
        <v>1.3443183345816299E-4</v>
      </c>
      <c r="I88" s="66" t="s">
        <v>132</v>
      </c>
      <c r="J88" s="66" t="s">
        <v>132</v>
      </c>
      <c r="K88" s="66" t="s">
        <v>132</v>
      </c>
      <c r="L88" s="66" t="s">
        <v>132</v>
      </c>
      <c r="M88" s="66" t="s">
        <v>132</v>
      </c>
      <c r="N88" s="66" t="s">
        <v>132</v>
      </c>
      <c r="O88" s="66" t="s">
        <v>132</v>
      </c>
      <c r="P88" s="66" t="s">
        <v>132</v>
      </c>
      <c r="Q88" s="66" t="s">
        <v>132</v>
      </c>
      <c r="R88" s="66" t="s">
        <v>132</v>
      </c>
      <c r="S88" s="84">
        <v>6.3375007201705398E-4</v>
      </c>
      <c r="T88" s="88">
        <v>7.6818190547521699E-4</v>
      </c>
    </row>
    <row r="89" spans="1:20" x14ac:dyDescent="0.2">
      <c r="A89" s="71" t="s">
        <v>31</v>
      </c>
      <c r="B89" s="79" t="s">
        <v>70</v>
      </c>
      <c r="C89" s="103" t="s">
        <v>132</v>
      </c>
      <c r="D89" s="104" t="s">
        <v>132</v>
      </c>
      <c r="E89" s="67" t="s">
        <v>132</v>
      </c>
      <c r="F89" s="67" t="s">
        <v>132</v>
      </c>
      <c r="G89" s="67" t="s">
        <v>132</v>
      </c>
      <c r="H89" s="67" t="s">
        <v>132</v>
      </c>
      <c r="I89" s="67" t="s">
        <v>132</v>
      </c>
      <c r="J89" s="67" t="s">
        <v>132</v>
      </c>
      <c r="K89" s="67" t="s">
        <v>132</v>
      </c>
      <c r="L89" s="67" t="s">
        <v>132</v>
      </c>
      <c r="M89" s="67" t="s">
        <v>132</v>
      </c>
      <c r="N89" s="67" t="s">
        <v>132</v>
      </c>
      <c r="O89" s="67" t="s">
        <v>132</v>
      </c>
      <c r="P89" s="67" t="s">
        <v>132</v>
      </c>
      <c r="Q89" s="67" t="s">
        <v>132</v>
      </c>
      <c r="R89" s="67" t="s">
        <v>132</v>
      </c>
      <c r="S89" s="85" t="s">
        <v>132</v>
      </c>
      <c r="T89" s="89" t="s">
        <v>132</v>
      </c>
    </row>
    <row r="90" spans="1:20" x14ac:dyDescent="0.2">
      <c r="A90" s="72" t="s">
        <v>20</v>
      </c>
      <c r="B90" s="78" t="s">
        <v>70</v>
      </c>
      <c r="C90" s="105" t="s">
        <v>132</v>
      </c>
      <c r="D90" s="106" t="s">
        <v>132</v>
      </c>
      <c r="E90" s="66" t="s">
        <v>132</v>
      </c>
      <c r="F90" s="66" t="s">
        <v>132</v>
      </c>
      <c r="G90" s="66" t="s">
        <v>132</v>
      </c>
      <c r="H90" s="66" t="s">
        <v>132</v>
      </c>
      <c r="I90" s="66" t="s">
        <v>132</v>
      </c>
      <c r="J90" s="66" t="s">
        <v>132</v>
      </c>
      <c r="K90" s="66" t="s">
        <v>132</v>
      </c>
      <c r="L90" s="66" t="s">
        <v>132</v>
      </c>
      <c r="M90" s="66" t="s">
        <v>132</v>
      </c>
      <c r="N90" s="66" t="s">
        <v>132</v>
      </c>
      <c r="O90" s="66" t="s">
        <v>132</v>
      </c>
      <c r="P90" s="66" t="s">
        <v>132</v>
      </c>
      <c r="Q90" s="66" t="s">
        <v>132</v>
      </c>
      <c r="R90" s="66" t="s">
        <v>132</v>
      </c>
      <c r="S90" s="84" t="s">
        <v>132</v>
      </c>
      <c r="T90" s="88" t="s">
        <v>132</v>
      </c>
    </row>
    <row r="91" spans="1:20" x14ac:dyDescent="0.2">
      <c r="A91" s="71" t="s">
        <v>32</v>
      </c>
      <c r="B91" s="79" t="s">
        <v>70</v>
      </c>
      <c r="C91" s="103" t="s">
        <v>132</v>
      </c>
      <c r="D91" s="104" t="s">
        <v>132</v>
      </c>
      <c r="E91" s="67" t="s">
        <v>132</v>
      </c>
      <c r="F91" s="67" t="s">
        <v>132</v>
      </c>
      <c r="G91" s="67" t="s">
        <v>132</v>
      </c>
      <c r="H91" s="67" t="s">
        <v>132</v>
      </c>
      <c r="I91" s="67" t="s">
        <v>132</v>
      </c>
      <c r="J91" s="67" t="s">
        <v>132</v>
      </c>
      <c r="K91" s="67" t="s">
        <v>132</v>
      </c>
      <c r="L91" s="67" t="s">
        <v>132</v>
      </c>
      <c r="M91" s="67" t="s">
        <v>132</v>
      </c>
      <c r="N91" s="67" t="s">
        <v>132</v>
      </c>
      <c r="O91" s="67" t="s">
        <v>132</v>
      </c>
      <c r="P91" s="67" t="s">
        <v>132</v>
      </c>
      <c r="Q91" s="67" t="s">
        <v>132</v>
      </c>
      <c r="R91" s="67" t="s">
        <v>132</v>
      </c>
      <c r="S91" s="85">
        <v>1.1330683105759401E-3</v>
      </c>
      <c r="T91" s="89">
        <v>1.1330683105759401E-3</v>
      </c>
    </row>
    <row r="92" spans="1:20" x14ac:dyDescent="0.2">
      <c r="A92" s="72" t="s">
        <v>23</v>
      </c>
      <c r="B92" s="78" t="s">
        <v>71</v>
      </c>
      <c r="C92" s="105" t="s">
        <v>132</v>
      </c>
      <c r="D92" s="106" t="s">
        <v>132</v>
      </c>
      <c r="E92" s="66" t="s">
        <v>132</v>
      </c>
      <c r="F92" s="66" t="s">
        <v>132</v>
      </c>
      <c r="G92" s="66" t="s">
        <v>132</v>
      </c>
      <c r="H92" s="66" t="s">
        <v>132</v>
      </c>
      <c r="I92" s="66" t="s">
        <v>132</v>
      </c>
      <c r="J92" s="66" t="s">
        <v>132</v>
      </c>
      <c r="K92" s="66" t="s">
        <v>132</v>
      </c>
      <c r="L92" s="66">
        <v>1.5939774538610799E-3</v>
      </c>
      <c r="M92" s="66" t="s">
        <v>132</v>
      </c>
      <c r="N92" s="66" t="s">
        <v>132</v>
      </c>
      <c r="O92" s="66" t="s">
        <v>132</v>
      </c>
      <c r="P92" s="66" t="s">
        <v>132</v>
      </c>
      <c r="Q92" s="66" t="s">
        <v>132</v>
      </c>
      <c r="R92" s="66" t="s">
        <v>132</v>
      </c>
      <c r="S92" s="84" t="s">
        <v>132</v>
      </c>
      <c r="T92" s="88">
        <v>1.5939774538610799E-3</v>
      </c>
    </row>
    <row r="93" spans="1:20" x14ac:dyDescent="0.2">
      <c r="A93" s="71" t="s">
        <v>24</v>
      </c>
      <c r="B93" s="79" t="s">
        <v>72</v>
      </c>
      <c r="C93" s="103" t="s">
        <v>132</v>
      </c>
      <c r="D93" s="104" t="s">
        <v>132</v>
      </c>
      <c r="E93" s="67" t="s">
        <v>132</v>
      </c>
      <c r="F93" s="67" t="s">
        <v>132</v>
      </c>
      <c r="G93" s="67" t="s">
        <v>132</v>
      </c>
      <c r="H93" s="67" t="s">
        <v>132</v>
      </c>
      <c r="I93" s="67" t="s">
        <v>132</v>
      </c>
      <c r="J93" s="67" t="s">
        <v>132</v>
      </c>
      <c r="K93" s="67" t="s">
        <v>132</v>
      </c>
      <c r="L93" s="67" t="s">
        <v>132</v>
      </c>
      <c r="M93" s="67" t="s">
        <v>132</v>
      </c>
      <c r="N93" s="67" t="s">
        <v>132</v>
      </c>
      <c r="O93" s="67" t="s">
        <v>132</v>
      </c>
      <c r="P93" s="67">
        <v>2.0740911447830802E-3</v>
      </c>
      <c r="Q93" s="67" t="s">
        <v>132</v>
      </c>
      <c r="R93" s="67" t="s">
        <v>132</v>
      </c>
      <c r="S93" s="85" t="s">
        <v>132</v>
      </c>
      <c r="T93" s="89">
        <v>2.0740911447830802E-3</v>
      </c>
    </row>
    <row r="94" spans="1:20" x14ac:dyDescent="0.2">
      <c r="A94" s="72" t="s">
        <v>25</v>
      </c>
      <c r="B94" s="78" t="s">
        <v>72</v>
      </c>
      <c r="C94" s="105" t="s">
        <v>132</v>
      </c>
      <c r="D94" s="106" t="s">
        <v>132</v>
      </c>
      <c r="E94" s="66" t="s">
        <v>132</v>
      </c>
      <c r="F94" s="66" t="s">
        <v>132</v>
      </c>
      <c r="G94" s="66" t="s">
        <v>132</v>
      </c>
      <c r="H94" s="66" t="s">
        <v>132</v>
      </c>
      <c r="I94" s="66" t="s">
        <v>132</v>
      </c>
      <c r="J94" s="66" t="s">
        <v>132</v>
      </c>
      <c r="K94" s="66" t="s">
        <v>132</v>
      </c>
      <c r="L94" s="66" t="s">
        <v>132</v>
      </c>
      <c r="M94" s="66" t="s">
        <v>132</v>
      </c>
      <c r="N94" s="66" t="s">
        <v>132</v>
      </c>
      <c r="O94" s="66" t="s">
        <v>132</v>
      </c>
      <c r="P94" s="66">
        <v>4.8664323711855003E-3</v>
      </c>
      <c r="Q94" s="66" t="s">
        <v>132</v>
      </c>
      <c r="R94" s="66" t="s">
        <v>132</v>
      </c>
      <c r="S94" s="84" t="s">
        <v>132</v>
      </c>
      <c r="T94" s="88">
        <v>4.8664323711855003E-3</v>
      </c>
    </row>
    <row r="95" spans="1:20" x14ac:dyDescent="0.2">
      <c r="A95" s="71" t="s">
        <v>78</v>
      </c>
      <c r="B95" s="79" t="s">
        <v>72</v>
      </c>
      <c r="C95" s="103" t="s">
        <v>132</v>
      </c>
      <c r="D95" s="104" t="s">
        <v>132</v>
      </c>
      <c r="E95" s="67" t="s">
        <v>132</v>
      </c>
      <c r="F95" s="67" t="s">
        <v>132</v>
      </c>
      <c r="G95" s="67" t="s">
        <v>132</v>
      </c>
      <c r="H95" s="67" t="s">
        <v>132</v>
      </c>
      <c r="I95" s="67" t="s">
        <v>132</v>
      </c>
      <c r="J95" s="67" t="s">
        <v>132</v>
      </c>
      <c r="K95" s="67" t="s">
        <v>132</v>
      </c>
      <c r="L95" s="67" t="s">
        <v>132</v>
      </c>
      <c r="M95" s="67" t="s">
        <v>132</v>
      </c>
      <c r="N95" s="67" t="s">
        <v>132</v>
      </c>
      <c r="O95" s="67" t="s">
        <v>132</v>
      </c>
      <c r="P95" s="67" t="s">
        <v>132</v>
      </c>
      <c r="Q95" s="67">
        <v>1.9204547636880401E-5</v>
      </c>
      <c r="R95" s="67" t="s">
        <v>132</v>
      </c>
      <c r="S95" s="85" t="s">
        <v>132</v>
      </c>
      <c r="T95" s="89">
        <v>1.9204547636880401E-5</v>
      </c>
    </row>
    <row r="96" spans="1:20" x14ac:dyDescent="0.2">
      <c r="A96" s="72" t="s">
        <v>26</v>
      </c>
      <c r="B96" s="78" t="s">
        <v>72</v>
      </c>
      <c r="C96" s="105" t="s">
        <v>132</v>
      </c>
      <c r="D96" s="106" t="s">
        <v>132</v>
      </c>
      <c r="E96" s="66" t="s">
        <v>132</v>
      </c>
      <c r="F96" s="66" t="s">
        <v>132</v>
      </c>
      <c r="G96" s="66" t="s">
        <v>132</v>
      </c>
      <c r="H96" s="66" t="s">
        <v>132</v>
      </c>
      <c r="I96" s="66" t="s">
        <v>132</v>
      </c>
      <c r="J96" s="66" t="s">
        <v>132</v>
      </c>
      <c r="K96" s="66" t="s">
        <v>132</v>
      </c>
      <c r="L96" s="66" t="s">
        <v>132</v>
      </c>
      <c r="M96" s="66" t="s">
        <v>132</v>
      </c>
      <c r="N96" s="66" t="s">
        <v>132</v>
      </c>
      <c r="O96" s="66" t="s">
        <v>132</v>
      </c>
      <c r="P96" s="66">
        <v>1.2098865011234701E-3</v>
      </c>
      <c r="Q96" s="66" t="s">
        <v>132</v>
      </c>
      <c r="R96" s="66" t="s">
        <v>132</v>
      </c>
      <c r="S96" s="84" t="s">
        <v>132</v>
      </c>
      <c r="T96" s="88">
        <v>1.2098865011234701E-3</v>
      </c>
    </row>
    <row r="97" spans="1:20" ht="13.5" thickBot="1" x14ac:dyDescent="0.25">
      <c r="A97" s="82" t="s">
        <v>27</v>
      </c>
      <c r="B97" s="81" t="s">
        <v>72</v>
      </c>
      <c r="C97" s="107" t="s">
        <v>132</v>
      </c>
      <c r="D97" s="108" t="s">
        <v>132</v>
      </c>
      <c r="E97" s="74" t="s">
        <v>132</v>
      </c>
      <c r="F97" s="74" t="s">
        <v>132</v>
      </c>
      <c r="G97" s="74" t="s">
        <v>132</v>
      </c>
      <c r="H97" s="74" t="s">
        <v>132</v>
      </c>
      <c r="I97" s="74" t="s">
        <v>132</v>
      </c>
      <c r="J97" s="74" t="s">
        <v>132</v>
      </c>
      <c r="K97" s="74" t="s">
        <v>132</v>
      </c>
      <c r="L97" s="74" t="s">
        <v>132</v>
      </c>
      <c r="M97" s="74" t="s">
        <v>132</v>
      </c>
      <c r="N97" s="74" t="s">
        <v>132</v>
      </c>
      <c r="O97" s="74" t="s">
        <v>132</v>
      </c>
      <c r="P97" s="74" t="s">
        <v>132</v>
      </c>
      <c r="Q97" s="74">
        <v>1.0178410247546599E-3</v>
      </c>
      <c r="R97" s="74" t="s">
        <v>132</v>
      </c>
      <c r="S97" s="86" t="s">
        <v>132</v>
      </c>
      <c r="T97" s="75">
        <v>1.0178410247546599E-3</v>
      </c>
    </row>
    <row r="98" spans="1:20" ht="14.25" thickTop="1" thickBot="1" x14ac:dyDescent="0.25">
      <c r="A98" s="70" t="s">
        <v>0</v>
      </c>
      <c r="B98" s="80"/>
      <c r="C98" s="101">
        <v>2.1509093353306065E-3</v>
      </c>
      <c r="D98" s="102" t="s">
        <v>132</v>
      </c>
      <c r="E98" s="73">
        <v>3.4568185746384659E-4</v>
      </c>
      <c r="F98" s="73">
        <v>4.2250004801136943E-4</v>
      </c>
      <c r="G98" s="73">
        <v>1.9204547636880401E-5</v>
      </c>
      <c r="H98" s="73">
        <v>1.7284092873192378E-4</v>
      </c>
      <c r="I98" s="73">
        <v>6.1454552438017381E-4</v>
      </c>
      <c r="J98" s="73" t="s">
        <v>132</v>
      </c>
      <c r="K98" s="73">
        <v>2.304545716425651E-4</v>
      </c>
      <c r="L98" s="73">
        <v>1.6323865491348407E-3</v>
      </c>
      <c r="M98" s="73">
        <v>1.9204547636880401E-5</v>
      </c>
      <c r="N98" s="73" t="s">
        <v>132</v>
      </c>
      <c r="O98" s="73" t="s">
        <v>132</v>
      </c>
      <c r="P98" s="73">
        <v>8.1504100170920503E-3</v>
      </c>
      <c r="Q98" s="73">
        <v>1.0370455723915403E-3</v>
      </c>
      <c r="R98" s="73" t="s">
        <v>132</v>
      </c>
      <c r="S98" s="87">
        <v>3.14954581244838E-3</v>
      </c>
      <c r="T98" s="90">
        <v>1.7944729311901057E-2</v>
      </c>
    </row>
  </sheetData>
  <mergeCells count="76">
    <mergeCell ref="A1:T1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6:T26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A51:T51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A76:T76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8:D98"/>
    <mergeCell ref="C93:D93"/>
    <mergeCell ref="C94:D94"/>
    <mergeCell ref="C95:D95"/>
    <mergeCell ref="C96:D96"/>
    <mergeCell ref="C97:D97"/>
  </mergeCells>
  <conditionalFormatting sqref="C5:T23">
    <cfRule type="cellIs" dxfId="1" priority="1" operator="greaterThan">
      <formula>0</formula>
    </cfRule>
  </conditionalFormatting>
  <conditionalFormatting sqref="T23">
    <cfRule type="cellIs" dxfId="0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71" orientation="landscape" r:id="rId1"/>
  <headerFooter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showGridLines="0" tabSelected="1" zoomScaleNormal="100" workbookViewId="0"/>
  </sheetViews>
  <sheetFormatPr defaultRowHeight="12.75" x14ac:dyDescent="0.2"/>
  <cols>
    <col min="1" max="1" width="31.7109375" style="31" bestFit="1" customWidth="1"/>
    <col min="2" max="10" width="10" style="21" customWidth="1"/>
    <col min="11" max="11" width="12.85546875" style="21" customWidth="1"/>
    <col min="12" max="15" width="10" style="21" customWidth="1"/>
    <col min="16" max="16" width="14" style="21" customWidth="1"/>
    <col min="17" max="17" width="10" style="21" customWidth="1"/>
    <col min="18" max="16384" width="9.140625" style="16"/>
  </cols>
  <sheetData>
    <row r="1" spans="1:17" ht="15" x14ac:dyDescent="0.25">
      <c r="A1" s="95" t="s">
        <v>124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7.5" customHeight="1" x14ac:dyDescent="0.2"/>
    <row r="3" spans="1:17" ht="12.75" customHeight="1" thickBot="1" x14ac:dyDescent="0.25">
      <c r="A3" s="31" t="s">
        <v>133</v>
      </c>
    </row>
    <row r="4" spans="1:17" s="5" customFormat="1" ht="38.25" customHeight="1" thickBot="1" x14ac:dyDescent="0.25">
      <c r="A4" s="25" t="s">
        <v>66</v>
      </c>
      <c r="B4" s="26" t="s">
        <v>38</v>
      </c>
      <c r="C4" s="32" t="s">
        <v>39</v>
      </c>
      <c r="D4" s="32" t="s">
        <v>40</v>
      </c>
      <c r="E4" s="32" t="s">
        <v>41</v>
      </c>
      <c r="F4" s="32" t="s">
        <v>42</v>
      </c>
      <c r="G4" s="32" t="s">
        <v>43</v>
      </c>
      <c r="H4" s="32" t="s">
        <v>44</v>
      </c>
      <c r="I4" s="32" t="s">
        <v>45</v>
      </c>
      <c r="J4" s="32" t="s">
        <v>64</v>
      </c>
      <c r="K4" s="32" t="s">
        <v>46</v>
      </c>
      <c r="L4" s="32" t="s">
        <v>7</v>
      </c>
      <c r="M4" s="32" t="s">
        <v>76</v>
      </c>
      <c r="N4" s="32" t="s">
        <v>47</v>
      </c>
      <c r="O4" s="32" t="s">
        <v>48</v>
      </c>
      <c r="P4" s="27" t="s">
        <v>49</v>
      </c>
      <c r="Q4" s="24" t="s">
        <v>0</v>
      </c>
    </row>
    <row r="5" spans="1:17" ht="12.75" customHeight="1" x14ac:dyDescent="0.2">
      <c r="A5" s="23" t="s">
        <v>8</v>
      </c>
      <c r="B5" s="53">
        <v>6.3333650650425598E-7</v>
      </c>
      <c r="C5" s="67" t="s">
        <v>132</v>
      </c>
      <c r="D5" s="67" t="s">
        <v>132</v>
      </c>
      <c r="E5" s="67">
        <v>1.3422696829653901E-3</v>
      </c>
      <c r="F5" s="67">
        <v>3.1955896506297202E-6</v>
      </c>
      <c r="G5" s="67">
        <v>9.0035499136386399E-5</v>
      </c>
      <c r="H5" s="67">
        <v>2.5878277101100898E-7</v>
      </c>
      <c r="I5" s="67">
        <v>1.9610275311403601E-4</v>
      </c>
      <c r="J5" s="67">
        <v>1.7363165801873E-3</v>
      </c>
      <c r="K5" s="67">
        <v>5.54675117862359E-4</v>
      </c>
      <c r="L5" s="67">
        <v>1.87884167138083E-4</v>
      </c>
      <c r="M5" s="67">
        <v>2.2162664233935499E-5</v>
      </c>
      <c r="N5" s="67" t="s">
        <v>132</v>
      </c>
      <c r="O5" s="67" t="s">
        <v>132</v>
      </c>
      <c r="P5" s="56">
        <v>3.43488837580203E-5</v>
      </c>
      <c r="Q5" s="58">
        <v>4.1678830573236543E-3</v>
      </c>
    </row>
    <row r="6" spans="1:17" ht="12.75" customHeight="1" x14ac:dyDescent="0.2">
      <c r="A6" s="22" t="s">
        <v>9</v>
      </c>
      <c r="B6" s="54">
        <v>1.8430361010763801E-3</v>
      </c>
      <c r="C6" s="66" t="s">
        <v>132</v>
      </c>
      <c r="D6" s="66">
        <v>2.0926370615378799E-3</v>
      </c>
      <c r="E6" s="66">
        <v>1.96774650445009E-3</v>
      </c>
      <c r="F6" s="66">
        <v>8.6319487080148297E-4</v>
      </c>
      <c r="G6" s="66">
        <v>4.7213483148074101E-4</v>
      </c>
      <c r="H6" s="66">
        <v>8.6874893608243797E-6</v>
      </c>
      <c r="I6" s="66">
        <v>2.8444024503174902E-4</v>
      </c>
      <c r="J6" s="66">
        <v>1.5608023141910801E-4</v>
      </c>
      <c r="K6" s="66">
        <v>1.8455195661997801E-3</v>
      </c>
      <c r="L6" s="66">
        <v>2.0036861376961702E-3</v>
      </c>
      <c r="M6" s="66">
        <v>1.39917331224854E-3</v>
      </c>
      <c r="N6" s="66" t="s">
        <v>132</v>
      </c>
      <c r="O6" s="66">
        <v>3.8115918179560701E-6</v>
      </c>
      <c r="P6" s="55">
        <v>8.7766748639613599E-5</v>
      </c>
      <c r="Q6" s="59">
        <v>1.3027914691760316E-2</v>
      </c>
    </row>
    <row r="7" spans="1:17" ht="12.75" customHeight="1" x14ac:dyDescent="0.2">
      <c r="A7" s="23" t="s">
        <v>10</v>
      </c>
      <c r="B7" s="53">
        <v>3.9996033805289901E-5</v>
      </c>
      <c r="C7" s="67">
        <v>4.4653257659415699E-6</v>
      </c>
      <c r="D7" s="67">
        <v>3.8551869635101998E-5</v>
      </c>
      <c r="E7" s="67">
        <v>5.1645437516067505E-4</v>
      </c>
      <c r="F7" s="67">
        <v>3.9290776097420599E-6</v>
      </c>
      <c r="G7" s="67">
        <v>1.9713604148471399E-5</v>
      </c>
      <c r="H7" s="67">
        <v>3.6328559940402601E-6</v>
      </c>
      <c r="I7" s="67">
        <v>2.0055994260070498E-5</v>
      </c>
      <c r="J7" s="67">
        <v>1.06368770205956E-4</v>
      </c>
      <c r="K7" s="67">
        <v>2.8734416026847601E-5</v>
      </c>
      <c r="L7" s="67">
        <v>1.14938408020631E-4</v>
      </c>
      <c r="M7" s="67">
        <v>4.04339483412272E-4</v>
      </c>
      <c r="N7" s="67">
        <v>2.8952526011623101E-6</v>
      </c>
      <c r="O7" s="67">
        <v>2.9673525053131499E-6</v>
      </c>
      <c r="P7" s="56">
        <v>1.23429045360413E-5</v>
      </c>
      <c r="Q7" s="58">
        <v>1.3193857236875562E-3</v>
      </c>
    </row>
    <row r="8" spans="1:17" ht="12.75" customHeight="1" x14ac:dyDescent="0.2">
      <c r="A8" s="22" t="s">
        <v>11</v>
      </c>
      <c r="B8" s="54">
        <v>4.7952621206750796E-6</v>
      </c>
      <c r="C8" s="66">
        <v>4.7380605651669803E-6</v>
      </c>
      <c r="D8" s="66">
        <v>7.0019670502298101E-4</v>
      </c>
      <c r="E8" s="66">
        <v>3.6072328248339E-4</v>
      </c>
      <c r="F8" s="66" t="s">
        <v>132</v>
      </c>
      <c r="G8" s="66">
        <v>4.6556224231309399E-6</v>
      </c>
      <c r="H8" s="66" t="s">
        <v>132</v>
      </c>
      <c r="I8" s="66">
        <v>9.7514400209880506E-6</v>
      </c>
      <c r="J8" s="66">
        <v>2.3980584156941399E-3</v>
      </c>
      <c r="K8" s="66">
        <v>8.6951919022271304E-5</v>
      </c>
      <c r="L8" s="66">
        <v>6.3250699155060499E-4</v>
      </c>
      <c r="M8" s="66">
        <v>8.3136802317769997E-4</v>
      </c>
      <c r="N8" s="66">
        <v>1.02074776819724E-5</v>
      </c>
      <c r="O8" s="66">
        <v>2.4524023522791199E-5</v>
      </c>
      <c r="P8" s="55">
        <v>3.5155671660534399E-5</v>
      </c>
      <c r="Q8" s="59">
        <v>5.1036328949463465E-3</v>
      </c>
    </row>
    <row r="9" spans="1:17" ht="12.75" customHeight="1" x14ac:dyDescent="0.2">
      <c r="A9" s="23" t="s">
        <v>12</v>
      </c>
      <c r="B9" s="53" t="s">
        <v>132</v>
      </c>
      <c r="C9" s="67" t="s">
        <v>132</v>
      </c>
      <c r="D9" s="67" t="s">
        <v>132</v>
      </c>
      <c r="E9" s="67">
        <v>2.3232349575136501E-5</v>
      </c>
      <c r="F9" s="67">
        <v>9.8782255016944702E-6</v>
      </c>
      <c r="G9" s="67">
        <v>1.1512142757762299E-5</v>
      </c>
      <c r="H9" s="67" t="s">
        <v>132</v>
      </c>
      <c r="I9" s="67">
        <v>3.0731873357084702E-6</v>
      </c>
      <c r="J9" s="67">
        <v>2.9775897752405797E-4</v>
      </c>
      <c r="K9" s="67">
        <v>6.4731201453927895E-5</v>
      </c>
      <c r="L9" s="67">
        <v>6.7269263115185302E-4</v>
      </c>
      <c r="M9" s="67">
        <v>3.14333080485844E-3</v>
      </c>
      <c r="N9" s="67">
        <v>1.8243507514760599E-5</v>
      </c>
      <c r="O9" s="67">
        <v>7.4058277346739502E-5</v>
      </c>
      <c r="P9" s="56">
        <v>9.4276159166499503E-6</v>
      </c>
      <c r="Q9" s="58">
        <v>4.3279389209367313E-3</v>
      </c>
    </row>
    <row r="10" spans="1:17" ht="12.75" customHeight="1" x14ac:dyDescent="0.2">
      <c r="A10" s="22" t="s">
        <v>13</v>
      </c>
      <c r="B10" s="54" t="s">
        <v>132</v>
      </c>
      <c r="C10" s="66" t="s">
        <v>132</v>
      </c>
      <c r="D10" s="66" t="s">
        <v>132</v>
      </c>
      <c r="E10" s="66" t="s">
        <v>132</v>
      </c>
      <c r="F10" s="66" t="s">
        <v>132</v>
      </c>
      <c r="G10" s="66" t="s">
        <v>132</v>
      </c>
      <c r="H10" s="66" t="s">
        <v>132</v>
      </c>
      <c r="I10" s="66" t="s">
        <v>132</v>
      </c>
      <c r="J10" s="66" t="s">
        <v>132</v>
      </c>
      <c r="K10" s="66">
        <v>3.79044845213358E-7</v>
      </c>
      <c r="L10" s="66">
        <v>2.1056295976005599E-5</v>
      </c>
      <c r="M10" s="66">
        <v>2.0902995620692299E-5</v>
      </c>
      <c r="N10" s="66" t="s">
        <v>132</v>
      </c>
      <c r="O10" s="66" t="s">
        <v>132</v>
      </c>
      <c r="P10" s="55">
        <v>3.5512671359068099E-6</v>
      </c>
      <c r="Q10" s="59">
        <v>4.5889603577818064E-5</v>
      </c>
    </row>
    <row r="11" spans="1:17" ht="12.75" customHeight="1" x14ac:dyDescent="0.2">
      <c r="A11" s="23" t="s">
        <v>14</v>
      </c>
      <c r="B11" s="53" t="s">
        <v>132</v>
      </c>
      <c r="C11" s="67" t="s">
        <v>132</v>
      </c>
      <c r="D11" s="67" t="s">
        <v>132</v>
      </c>
      <c r="E11" s="67">
        <v>2.0742664736823702E-6</v>
      </c>
      <c r="F11" s="67" t="s">
        <v>132</v>
      </c>
      <c r="G11" s="67" t="s">
        <v>132</v>
      </c>
      <c r="H11" s="67" t="s">
        <v>132</v>
      </c>
      <c r="I11" s="67" t="s">
        <v>132</v>
      </c>
      <c r="J11" s="67" t="s">
        <v>132</v>
      </c>
      <c r="K11" s="67" t="s">
        <v>132</v>
      </c>
      <c r="L11" s="67">
        <v>1.9419925957479201E-5</v>
      </c>
      <c r="M11" s="67">
        <v>7.6511808689516993E-6</v>
      </c>
      <c r="N11" s="67" t="s">
        <v>132</v>
      </c>
      <c r="O11" s="67" t="s">
        <v>132</v>
      </c>
      <c r="P11" s="56">
        <v>9.0696999849072702E-7</v>
      </c>
      <c r="Q11" s="58">
        <v>3.0052343298604001E-5</v>
      </c>
    </row>
    <row r="12" spans="1:17" ht="12.75" customHeight="1" x14ac:dyDescent="0.2">
      <c r="A12" s="22" t="s">
        <v>15</v>
      </c>
      <c r="B12" s="54" t="s">
        <v>132</v>
      </c>
      <c r="C12" s="66" t="s">
        <v>132</v>
      </c>
      <c r="D12" s="66">
        <v>2.4189321198173698E-6</v>
      </c>
      <c r="E12" s="66">
        <v>1.40536463450512E-5</v>
      </c>
      <c r="F12" s="66" t="s">
        <v>132</v>
      </c>
      <c r="G12" s="66">
        <v>2.5688141352329701E-6</v>
      </c>
      <c r="H12" s="66" t="s">
        <v>132</v>
      </c>
      <c r="I12" s="66" t="s">
        <v>132</v>
      </c>
      <c r="J12" s="66">
        <v>1.9881723926418399E-5</v>
      </c>
      <c r="K12" s="66" t="s">
        <v>132</v>
      </c>
      <c r="L12" s="66">
        <v>3.6487088828420498E-4</v>
      </c>
      <c r="M12" s="66">
        <v>1.17088978564985E-4</v>
      </c>
      <c r="N12" s="66" t="s">
        <v>132</v>
      </c>
      <c r="O12" s="66">
        <v>9.0696999849072702E-7</v>
      </c>
      <c r="P12" s="55">
        <v>1.37842017290924E-5</v>
      </c>
      <c r="Q12" s="59">
        <v>5.3557415510329309E-4</v>
      </c>
    </row>
    <row r="13" spans="1:17" ht="12.75" customHeight="1" x14ac:dyDescent="0.2">
      <c r="A13" s="23" t="s">
        <v>16</v>
      </c>
      <c r="B13" s="53" t="s">
        <v>132</v>
      </c>
      <c r="C13" s="67" t="s">
        <v>132</v>
      </c>
      <c r="D13" s="67" t="s">
        <v>132</v>
      </c>
      <c r="E13" s="67" t="s">
        <v>132</v>
      </c>
      <c r="F13" s="67" t="s">
        <v>132</v>
      </c>
      <c r="G13" s="67" t="s">
        <v>132</v>
      </c>
      <c r="H13" s="67" t="s">
        <v>132</v>
      </c>
      <c r="I13" s="67" t="s">
        <v>132</v>
      </c>
      <c r="J13" s="67" t="s">
        <v>132</v>
      </c>
      <c r="K13" s="67" t="s">
        <v>132</v>
      </c>
      <c r="L13" s="67">
        <v>1.1946695004276001E-6</v>
      </c>
      <c r="M13" s="67">
        <v>9.2251008391505594E-6</v>
      </c>
      <c r="N13" s="67" t="s">
        <v>132</v>
      </c>
      <c r="O13" s="67" t="s">
        <v>132</v>
      </c>
      <c r="P13" s="56" t="s">
        <v>132</v>
      </c>
      <c r="Q13" s="58">
        <v>1.0419770339578159E-5</v>
      </c>
    </row>
    <row r="14" spans="1:17" ht="12.75" customHeight="1" x14ac:dyDescent="0.2">
      <c r="A14" s="22" t="s">
        <v>17</v>
      </c>
      <c r="B14" s="54" t="s">
        <v>132</v>
      </c>
      <c r="C14" s="66" t="s">
        <v>132</v>
      </c>
      <c r="D14" s="66" t="s">
        <v>132</v>
      </c>
      <c r="E14" s="66">
        <v>3.2781043468626298E-5</v>
      </c>
      <c r="F14" s="66">
        <v>7.3699578136619502E-6</v>
      </c>
      <c r="G14" s="66">
        <v>2.5878277101100898E-7</v>
      </c>
      <c r="H14" s="66" t="s">
        <v>132</v>
      </c>
      <c r="I14" s="66" t="s">
        <v>132</v>
      </c>
      <c r="J14" s="66">
        <v>4.96324521743691E-6</v>
      </c>
      <c r="K14" s="66">
        <v>6.9470481804961102E-6</v>
      </c>
      <c r="L14" s="66">
        <v>6.5773116379734106E-5</v>
      </c>
      <c r="M14" s="66">
        <v>4.6550937384507201E-5</v>
      </c>
      <c r="N14" s="66">
        <v>6.3264378518300502E-6</v>
      </c>
      <c r="O14" s="66">
        <v>1.4836762526565701E-6</v>
      </c>
      <c r="P14" s="55">
        <v>5.7365769260555101E-6</v>
      </c>
      <c r="Q14" s="59">
        <v>1.7819082224601571E-4</v>
      </c>
    </row>
    <row r="15" spans="1:17" ht="12.75" customHeight="1" x14ac:dyDescent="0.2">
      <c r="A15" s="23" t="s">
        <v>79</v>
      </c>
      <c r="B15" s="53" t="s">
        <v>132</v>
      </c>
      <c r="C15" s="67" t="s">
        <v>132</v>
      </c>
      <c r="D15" s="67" t="s">
        <v>132</v>
      </c>
      <c r="E15" s="67">
        <v>8.5909841698704001E-5</v>
      </c>
      <c r="F15" s="67" t="s">
        <v>132</v>
      </c>
      <c r="G15" s="67">
        <v>1.0521827994064399E-6</v>
      </c>
      <c r="H15" s="67" t="s">
        <v>132</v>
      </c>
      <c r="I15" s="67" t="s">
        <v>132</v>
      </c>
      <c r="J15" s="67">
        <v>2.22551437898486E-6</v>
      </c>
      <c r="K15" s="67">
        <v>3.0203319333894198E-6</v>
      </c>
      <c r="L15" s="67">
        <v>2.9106076737980201E-6</v>
      </c>
      <c r="M15" s="67">
        <v>1.68759179793912E-6</v>
      </c>
      <c r="N15" s="67" t="s">
        <v>132</v>
      </c>
      <c r="O15" s="67" t="s">
        <v>132</v>
      </c>
      <c r="P15" s="56">
        <v>5.7057763995253503E-6</v>
      </c>
      <c r="Q15" s="58">
        <v>1.025118466817472E-4</v>
      </c>
    </row>
    <row r="16" spans="1:17" ht="12.75" customHeight="1" x14ac:dyDescent="0.2">
      <c r="A16" s="22" t="s">
        <v>80</v>
      </c>
      <c r="B16" s="54" t="s">
        <v>132</v>
      </c>
      <c r="C16" s="66" t="s">
        <v>132</v>
      </c>
      <c r="D16" s="66">
        <v>1.89522422606679E-7</v>
      </c>
      <c r="E16" s="66">
        <v>4.8200761754147102E-6</v>
      </c>
      <c r="F16" s="66" t="s">
        <v>132</v>
      </c>
      <c r="G16" s="66">
        <v>7.3071666519076203E-7</v>
      </c>
      <c r="H16" s="66" t="s">
        <v>132</v>
      </c>
      <c r="I16" s="66" t="s">
        <v>132</v>
      </c>
      <c r="J16" s="66" t="s">
        <v>132</v>
      </c>
      <c r="K16" s="66" t="s">
        <v>132</v>
      </c>
      <c r="L16" s="66">
        <v>5.7941130566907397E-5</v>
      </c>
      <c r="M16" s="66">
        <v>2.28277223036405E-4</v>
      </c>
      <c r="N16" s="66">
        <v>1.2666730130085101E-6</v>
      </c>
      <c r="O16" s="66">
        <v>2.7209099954721798E-6</v>
      </c>
      <c r="P16" s="55">
        <v>6.5472523952156699E-5</v>
      </c>
      <c r="Q16" s="59">
        <v>3.6141877582716197E-4</v>
      </c>
    </row>
    <row r="17" spans="1:17" ht="12.75" customHeight="1" x14ac:dyDescent="0.2">
      <c r="A17" s="23" t="s">
        <v>18</v>
      </c>
      <c r="B17" s="53" t="s">
        <v>132</v>
      </c>
      <c r="C17" s="67" t="s">
        <v>132</v>
      </c>
      <c r="D17" s="67">
        <v>1.2939138550550499E-7</v>
      </c>
      <c r="E17" s="67">
        <v>1.02686826442606E-5</v>
      </c>
      <c r="F17" s="67" t="s">
        <v>132</v>
      </c>
      <c r="G17" s="67" t="s">
        <v>132</v>
      </c>
      <c r="H17" s="67" t="s">
        <v>132</v>
      </c>
      <c r="I17" s="67" t="s">
        <v>132</v>
      </c>
      <c r="J17" s="67" t="s">
        <v>132</v>
      </c>
      <c r="K17" s="67" t="s">
        <v>132</v>
      </c>
      <c r="L17" s="67" t="s">
        <v>132</v>
      </c>
      <c r="M17" s="67">
        <v>8.7532670661765796E-6</v>
      </c>
      <c r="N17" s="67" t="s">
        <v>132</v>
      </c>
      <c r="O17" s="67" t="s">
        <v>132</v>
      </c>
      <c r="P17" s="56" t="s">
        <v>132</v>
      </c>
      <c r="Q17" s="58">
        <v>1.9151341095942683E-5</v>
      </c>
    </row>
    <row r="18" spans="1:17" ht="12.75" customHeight="1" x14ac:dyDescent="0.2">
      <c r="A18" s="22" t="s">
        <v>78</v>
      </c>
      <c r="B18" s="54" t="s">
        <v>132</v>
      </c>
      <c r="C18" s="66" t="s">
        <v>132</v>
      </c>
      <c r="D18" s="66" t="s">
        <v>132</v>
      </c>
      <c r="E18" s="66">
        <v>3.04170473079797E-4</v>
      </c>
      <c r="F18" s="66" t="s">
        <v>132</v>
      </c>
      <c r="G18" s="66">
        <v>9.0696999849072702E-7</v>
      </c>
      <c r="H18" s="66">
        <v>1.86071701524413E-7</v>
      </c>
      <c r="I18" s="66">
        <v>1.7847460527845E-7</v>
      </c>
      <c r="J18" s="66">
        <v>1.89522422606679E-7</v>
      </c>
      <c r="K18" s="66">
        <v>3.5184381987614E-6</v>
      </c>
      <c r="L18" s="66">
        <v>1.8475464952782999E-5</v>
      </c>
      <c r="M18" s="66">
        <v>7.4397932994279802E-6</v>
      </c>
      <c r="N18" s="66" t="s">
        <v>132</v>
      </c>
      <c r="O18" s="66" t="s">
        <v>132</v>
      </c>
      <c r="P18" s="55">
        <v>3.5304260597203599E-6</v>
      </c>
      <c r="Q18" s="59">
        <v>3.3859563431838999E-4</v>
      </c>
    </row>
    <row r="19" spans="1:17" ht="12.75" customHeight="1" x14ac:dyDescent="0.2">
      <c r="A19" s="23" t="s">
        <v>33</v>
      </c>
      <c r="B19" s="53">
        <v>8.7653151543775297E-4</v>
      </c>
      <c r="C19" s="67">
        <v>1.7555776507944701E-3</v>
      </c>
      <c r="D19" s="67">
        <v>7.3867123557140406E-5</v>
      </c>
      <c r="E19" s="67">
        <v>2.5257316018453698E-3</v>
      </c>
      <c r="F19" s="67">
        <v>2.3290449390990801E-6</v>
      </c>
      <c r="G19" s="67">
        <v>3.6016000395461397E-4</v>
      </c>
      <c r="H19" s="67">
        <v>1.65317511071822E-3</v>
      </c>
      <c r="I19" s="67">
        <v>3.3650608152784498E-3</v>
      </c>
      <c r="J19" s="67">
        <v>4.8812288865167503E-5</v>
      </c>
      <c r="K19" s="67">
        <v>3.3169816481396099E-4</v>
      </c>
      <c r="L19" s="67">
        <v>6.32048748906481E-3</v>
      </c>
      <c r="M19" s="67">
        <v>6.1869809391483098E-4</v>
      </c>
      <c r="N19" s="67" t="s">
        <v>132</v>
      </c>
      <c r="O19" s="67" t="s">
        <v>132</v>
      </c>
      <c r="P19" s="56">
        <v>1.49692794432961E-4</v>
      </c>
      <c r="Q19" s="58">
        <v>1.8081821697616844E-2</v>
      </c>
    </row>
    <row r="20" spans="1:17" ht="12.75" customHeight="1" x14ac:dyDescent="0.2">
      <c r="A20" s="22" t="s">
        <v>34</v>
      </c>
      <c r="B20" s="54">
        <v>5.3711421766354701E-4</v>
      </c>
      <c r="C20" s="66">
        <v>1.12308343356187E-3</v>
      </c>
      <c r="D20" s="66">
        <v>2.3456055947799001E-4</v>
      </c>
      <c r="E20" s="66">
        <v>2.26064625674184E-5</v>
      </c>
      <c r="F20" s="66" t="s">
        <v>132</v>
      </c>
      <c r="G20" s="66">
        <v>2.5333460260170201E-6</v>
      </c>
      <c r="H20" s="66">
        <v>4.1676336560357097E-3</v>
      </c>
      <c r="I20" s="66">
        <v>1.4716303784651199E-4</v>
      </c>
      <c r="J20" s="66" t="s">
        <v>132</v>
      </c>
      <c r="K20" s="66">
        <v>3.9075057320126804E-6</v>
      </c>
      <c r="L20" s="66">
        <v>2.3804758284445799E-4</v>
      </c>
      <c r="M20" s="66">
        <v>1.3024428220222199E-4</v>
      </c>
      <c r="N20" s="66" t="s">
        <v>132</v>
      </c>
      <c r="O20" s="66" t="s">
        <v>132</v>
      </c>
      <c r="P20" s="55">
        <v>1.7838243517419599E-5</v>
      </c>
      <c r="Q20" s="59">
        <v>6.6247323274751775E-3</v>
      </c>
    </row>
    <row r="21" spans="1:17" ht="12.75" customHeight="1" x14ac:dyDescent="0.2">
      <c r="A21" s="23" t="s">
        <v>35</v>
      </c>
      <c r="B21" s="53">
        <v>3.4305437179059102E-4</v>
      </c>
      <c r="C21" s="67">
        <v>2.2436305613058702E-3</v>
      </c>
      <c r="D21" s="67" t="s">
        <v>132</v>
      </c>
      <c r="E21" s="67">
        <v>1.63373921628484E-4</v>
      </c>
      <c r="F21" s="67" t="s">
        <v>132</v>
      </c>
      <c r="G21" s="67">
        <v>1.9408707825825698E-6</v>
      </c>
      <c r="H21" s="67">
        <v>2.9037273618403903E-4</v>
      </c>
      <c r="I21" s="67">
        <v>2.70096982258413E-4</v>
      </c>
      <c r="J21" s="67" t="s">
        <v>132</v>
      </c>
      <c r="K21" s="67">
        <v>9.0984047232542305E-6</v>
      </c>
      <c r="L21" s="67">
        <v>1.9966563069328199E-4</v>
      </c>
      <c r="M21" s="67">
        <v>1.6259298175469401E-4</v>
      </c>
      <c r="N21" s="67" t="s">
        <v>132</v>
      </c>
      <c r="O21" s="67" t="s">
        <v>132</v>
      </c>
      <c r="P21" s="56">
        <v>7.4428680609765296E-7</v>
      </c>
      <c r="Q21" s="58">
        <v>3.6845707479273081E-3</v>
      </c>
    </row>
    <row r="22" spans="1:17" ht="12.75" customHeight="1" x14ac:dyDescent="0.2">
      <c r="A22" s="22" t="s">
        <v>36</v>
      </c>
      <c r="B22" s="54">
        <v>1.9681725918430201E-5</v>
      </c>
      <c r="C22" s="66">
        <v>5.36521091865698E-5</v>
      </c>
      <c r="D22" s="66">
        <v>2.4428693822307001E-6</v>
      </c>
      <c r="E22" s="66">
        <v>6.3333650650425598E-7</v>
      </c>
      <c r="F22" s="66" t="s">
        <v>132</v>
      </c>
      <c r="G22" s="66" t="s">
        <v>132</v>
      </c>
      <c r="H22" s="66">
        <v>6.8299256863627093E-5</v>
      </c>
      <c r="I22" s="66">
        <v>1.15473227689026E-4</v>
      </c>
      <c r="J22" s="66" t="s">
        <v>132</v>
      </c>
      <c r="K22" s="66" t="s">
        <v>132</v>
      </c>
      <c r="L22" s="66">
        <v>2.9673525053131499E-6</v>
      </c>
      <c r="M22" s="66">
        <v>4.9474531825573998E-5</v>
      </c>
      <c r="N22" s="66" t="s">
        <v>132</v>
      </c>
      <c r="O22" s="66" t="s">
        <v>132</v>
      </c>
      <c r="P22" s="55">
        <v>1.0351310840440399E-6</v>
      </c>
      <c r="Q22" s="59">
        <v>3.1365954096131929E-4</v>
      </c>
    </row>
    <row r="23" spans="1:17" ht="12.75" customHeight="1" x14ac:dyDescent="0.2">
      <c r="A23" s="23" t="s">
        <v>6</v>
      </c>
      <c r="B23" s="53">
        <v>8.2199239528608903E-4</v>
      </c>
      <c r="C23" s="67">
        <v>4.7227565461796501E-4</v>
      </c>
      <c r="D23" s="67">
        <v>1.25869403521193E-5</v>
      </c>
      <c r="E23" s="67">
        <v>3.5870404367414601E-4</v>
      </c>
      <c r="F23" s="67">
        <v>1.52005351606129E-5</v>
      </c>
      <c r="G23" s="67">
        <v>1.2724982307388101E-4</v>
      </c>
      <c r="H23" s="67" t="s">
        <v>132</v>
      </c>
      <c r="I23" s="67">
        <v>8.8524737205510397E-6</v>
      </c>
      <c r="J23" s="67">
        <v>1.8846414692403899E-5</v>
      </c>
      <c r="K23" s="67">
        <v>4.9038535168196502E-5</v>
      </c>
      <c r="L23" s="67">
        <v>3.9888533177489502E-4</v>
      </c>
      <c r="M23" s="67">
        <v>5.4551687120759404E-4</v>
      </c>
      <c r="N23" s="67" t="s">
        <v>132</v>
      </c>
      <c r="O23" s="67" t="s">
        <v>132</v>
      </c>
      <c r="P23" s="56">
        <v>4.71252922676157E-6</v>
      </c>
      <c r="Q23" s="58">
        <v>2.8338615479552155E-3</v>
      </c>
    </row>
    <row r="24" spans="1:17" ht="12.75" customHeight="1" thickBot="1" x14ac:dyDescent="0.25">
      <c r="A24" s="9" t="s">
        <v>37</v>
      </c>
      <c r="B24" s="10" t="s">
        <v>132</v>
      </c>
      <c r="C24" s="6">
        <v>1.9661588971751798E-5</v>
      </c>
      <c r="D24" s="6" t="s">
        <v>132</v>
      </c>
      <c r="E24" s="6">
        <v>1.02992812021672E-4</v>
      </c>
      <c r="F24" s="6">
        <v>1.0602239150933101E-5</v>
      </c>
      <c r="G24" s="6">
        <v>1.4454265176506599E-4</v>
      </c>
      <c r="H24" s="6" t="s">
        <v>132</v>
      </c>
      <c r="I24" s="6">
        <v>9.6487930018064696E-6</v>
      </c>
      <c r="J24" s="6">
        <v>5.6298060864179596E-4</v>
      </c>
      <c r="K24" s="6">
        <v>2.61291659805038E-4</v>
      </c>
      <c r="L24" s="6">
        <v>6.8648720469581797E-3</v>
      </c>
      <c r="M24" s="6">
        <v>7.37146157492155E-4</v>
      </c>
      <c r="N24" s="6" t="s">
        <v>132</v>
      </c>
      <c r="O24" s="6">
        <v>2.7610938985681599E-5</v>
      </c>
      <c r="P24" s="7">
        <v>7.7294907035896206E-6</v>
      </c>
      <c r="Q24" s="11">
        <v>8.7490789874976709E-3</v>
      </c>
    </row>
    <row r="25" spans="1:17" ht="12.75" customHeight="1" thickTop="1" thickBot="1" x14ac:dyDescent="0.25">
      <c r="A25" s="8" t="s">
        <v>0</v>
      </c>
      <c r="B25" s="96">
        <v>4.4868349596052593E-3</v>
      </c>
      <c r="C25" s="97">
        <v>5.6770843847696057E-3</v>
      </c>
      <c r="D25" s="97">
        <v>3.1575809748933727E-3</v>
      </c>
      <c r="E25" s="97">
        <v>7.8385464027638137E-3</v>
      </c>
      <c r="F25" s="97">
        <v>9.1569954062785635E-4</v>
      </c>
      <c r="G25" s="97">
        <v>1.2399958619179847E-3</v>
      </c>
      <c r="H25" s="97">
        <v>6.1922459596289951E-3</v>
      </c>
      <c r="I25" s="97">
        <v>4.4298974241625882E-3</v>
      </c>
      <c r="J25" s="97">
        <v>5.352482293175375E-3</v>
      </c>
      <c r="K25" s="97">
        <v>3.2495113539655093E-3</v>
      </c>
      <c r="L25" s="97">
        <v>1.8188275868689621E-2</v>
      </c>
      <c r="M25" s="97">
        <v>8.4916242748061931E-3</v>
      </c>
      <c r="N25" s="97">
        <v>3.8939348662733865E-5</v>
      </c>
      <c r="O25" s="97">
        <v>1.38083740425101E-4</v>
      </c>
      <c r="P25" s="98">
        <v>4.5948204248268088E-4</v>
      </c>
      <c r="Q25" s="99">
        <v>6.985628443057669E-2</v>
      </c>
    </row>
    <row r="28" spans="1:17" ht="15" x14ac:dyDescent="0.25">
      <c r="A28" s="100" t="s">
        <v>90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</row>
    <row r="29" spans="1:17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13.5" thickBot="1" x14ac:dyDescent="0.25">
      <c r="A30" s="31" t="s">
        <v>133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39" thickBot="1" x14ac:dyDescent="0.25">
      <c r="A31" s="25" t="s">
        <v>88</v>
      </c>
      <c r="B31" s="26" t="s">
        <v>38</v>
      </c>
      <c r="C31" s="32" t="s">
        <v>39</v>
      </c>
      <c r="D31" s="32" t="s">
        <v>40</v>
      </c>
      <c r="E31" s="32" t="s">
        <v>41</v>
      </c>
      <c r="F31" s="32" t="s">
        <v>42</v>
      </c>
      <c r="G31" s="32" t="s">
        <v>43</v>
      </c>
      <c r="H31" s="32" t="s">
        <v>44</v>
      </c>
      <c r="I31" s="32" t="s">
        <v>45</v>
      </c>
      <c r="J31" s="32" t="s">
        <v>64</v>
      </c>
      <c r="K31" s="32" t="s">
        <v>46</v>
      </c>
      <c r="L31" s="32" t="s">
        <v>7</v>
      </c>
      <c r="M31" s="32" t="s">
        <v>76</v>
      </c>
      <c r="N31" s="32" t="s">
        <v>47</v>
      </c>
      <c r="O31" s="32" t="s">
        <v>48</v>
      </c>
      <c r="P31" s="27" t="s">
        <v>49</v>
      </c>
      <c r="Q31" s="24" t="s">
        <v>0</v>
      </c>
    </row>
    <row r="32" spans="1:17" x14ac:dyDescent="0.2">
      <c r="A32" s="23" t="s">
        <v>8</v>
      </c>
      <c r="B32" s="53" t="s">
        <v>132</v>
      </c>
      <c r="C32" s="67" t="s">
        <v>132</v>
      </c>
      <c r="D32" s="67" t="s">
        <v>132</v>
      </c>
      <c r="E32" s="67">
        <v>8.1444981340531898E-4</v>
      </c>
      <c r="F32" s="67">
        <v>3.0697278803495302E-6</v>
      </c>
      <c r="G32" s="67">
        <v>7.4891865059259602E-5</v>
      </c>
      <c r="H32" s="67" t="s">
        <v>132</v>
      </c>
      <c r="I32" s="67">
        <v>2.0578534241301E-4</v>
      </c>
      <c r="J32" s="67">
        <v>1.0788886450447501E-3</v>
      </c>
      <c r="K32" s="67">
        <v>3.6325833938665499E-4</v>
      </c>
      <c r="L32" s="67">
        <v>1.3853896234841299E-4</v>
      </c>
      <c r="M32" s="67">
        <v>1.28940508571582E-5</v>
      </c>
      <c r="N32" s="67" t="s">
        <v>132</v>
      </c>
      <c r="O32" s="67" t="s">
        <v>132</v>
      </c>
      <c r="P32" s="56">
        <v>2.70161380914617E-5</v>
      </c>
      <c r="Q32" s="58">
        <v>2.7187928844863759E-3</v>
      </c>
    </row>
    <row r="33" spans="1:17" x14ac:dyDescent="0.2">
      <c r="A33" s="22" t="s">
        <v>9</v>
      </c>
      <c r="B33" s="54">
        <v>1.5645389044937699E-3</v>
      </c>
      <c r="C33" s="66" t="s">
        <v>132</v>
      </c>
      <c r="D33" s="66">
        <v>1.71521072410926E-3</v>
      </c>
      <c r="E33" s="66">
        <v>9.5443860522946404E-4</v>
      </c>
      <c r="F33" s="66">
        <v>4.2304352846682402E-4</v>
      </c>
      <c r="G33" s="66">
        <v>3.9118729760383701E-4</v>
      </c>
      <c r="H33" s="66">
        <v>4.02414938770244E-6</v>
      </c>
      <c r="I33" s="66">
        <v>2.24572546630929E-4</v>
      </c>
      <c r="J33" s="66">
        <v>9.6332904247600502E-5</v>
      </c>
      <c r="K33" s="66">
        <v>6.8438977671561997E-4</v>
      </c>
      <c r="L33" s="66">
        <v>1.28048630925235E-3</v>
      </c>
      <c r="M33" s="66">
        <v>8.4880514799090404E-4</v>
      </c>
      <c r="N33" s="66" t="s">
        <v>132</v>
      </c>
      <c r="O33" s="66">
        <v>4.5444683065924897E-6</v>
      </c>
      <c r="P33" s="55">
        <v>5.5779851149077301E-5</v>
      </c>
      <c r="Q33" s="59">
        <v>8.2473542135839302E-3</v>
      </c>
    </row>
    <row r="34" spans="1:17" x14ac:dyDescent="0.2">
      <c r="A34" s="23" t="s">
        <v>10</v>
      </c>
      <c r="B34" s="53">
        <v>1.09060646014966E-5</v>
      </c>
      <c r="C34" s="67">
        <v>1.1275991217715601E-6</v>
      </c>
      <c r="D34" s="67">
        <v>2.3282677008826998E-5</v>
      </c>
      <c r="E34" s="67">
        <v>3.6138794141253301E-4</v>
      </c>
      <c r="F34" s="67">
        <v>3.8722364709260499E-7</v>
      </c>
      <c r="G34" s="67">
        <v>1.5155382925559E-5</v>
      </c>
      <c r="H34" s="67">
        <v>2.65342671623898E-6</v>
      </c>
      <c r="I34" s="67">
        <v>1.3056856564855E-5</v>
      </c>
      <c r="J34" s="67">
        <v>1.03692487563355E-4</v>
      </c>
      <c r="K34" s="67">
        <v>1.7247244194340499E-5</v>
      </c>
      <c r="L34" s="67">
        <v>5.7907655332923303E-5</v>
      </c>
      <c r="M34" s="67">
        <v>2.6439397265861698E-4</v>
      </c>
      <c r="N34" s="67" t="s">
        <v>132</v>
      </c>
      <c r="O34" s="67">
        <v>3.5379022883186401E-6</v>
      </c>
      <c r="P34" s="56">
        <v>1.28134833980268E-5</v>
      </c>
      <c r="Q34" s="58">
        <v>8.8754991743395504E-4</v>
      </c>
    </row>
    <row r="35" spans="1:17" x14ac:dyDescent="0.2">
      <c r="A35" s="22" t="s">
        <v>11</v>
      </c>
      <c r="B35" s="54" t="s">
        <v>132</v>
      </c>
      <c r="C35" s="66" t="s">
        <v>132</v>
      </c>
      <c r="D35" s="66">
        <v>1.3552881229785899E-4</v>
      </c>
      <c r="E35" s="66">
        <v>2.13202943100877E-4</v>
      </c>
      <c r="F35" s="66" t="s">
        <v>132</v>
      </c>
      <c r="G35" s="66">
        <v>4.6251642588996404E-6</v>
      </c>
      <c r="H35" s="66" t="s">
        <v>132</v>
      </c>
      <c r="I35" s="66" t="s">
        <v>132</v>
      </c>
      <c r="J35" s="66">
        <v>9.35606103069247E-4</v>
      </c>
      <c r="K35" s="66">
        <v>4.7382775326209703E-5</v>
      </c>
      <c r="L35" s="66">
        <v>4.2803355971936198E-4</v>
      </c>
      <c r="M35" s="66">
        <v>5.2826593280966099E-4</v>
      </c>
      <c r="N35" s="66">
        <v>5.4067914535790502E-6</v>
      </c>
      <c r="O35" s="66">
        <v>2.3087376824325101E-5</v>
      </c>
      <c r="P35" s="55">
        <v>2.99175420637765E-5</v>
      </c>
      <c r="Q35" s="59">
        <v>2.3510570009237963E-3</v>
      </c>
    </row>
    <row r="36" spans="1:17" x14ac:dyDescent="0.2">
      <c r="A36" s="23" t="s">
        <v>12</v>
      </c>
      <c r="B36" s="53" t="s">
        <v>132</v>
      </c>
      <c r="C36" s="67" t="s">
        <v>132</v>
      </c>
      <c r="D36" s="67" t="s">
        <v>132</v>
      </c>
      <c r="E36" s="67">
        <v>1.3350812474202001E-5</v>
      </c>
      <c r="F36" s="67">
        <v>5.1636627124541304E-6</v>
      </c>
      <c r="G36" s="67">
        <v>1.11237823703E-5</v>
      </c>
      <c r="H36" s="67" t="s">
        <v>132</v>
      </c>
      <c r="I36" s="67">
        <v>2.65342671623898E-6</v>
      </c>
      <c r="J36" s="67">
        <v>1.0395168890116601E-4</v>
      </c>
      <c r="K36" s="67">
        <v>8.9799245559171601E-6</v>
      </c>
      <c r="L36" s="67">
        <v>3.83305602499346E-4</v>
      </c>
      <c r="M36" s="67">
        <v>1.5222561636030699E-3</v>
      </c>
      <c r="N36" s="67">
        <v>1.0876981860818601E-5</v>
      </c>
      <c r="O36" s="67">
        <v>6.4761299051244799E-5</v>
      </c>
      <c r="P36" s="56">
        <v>7.3660835261948297E-6</v>
      </c>
      <c r="Q36" s="58">
        <v>2.1337894282709526E-3</v>
      </c>
    </row>
    <row r="37" spans="1:17" x14ac:dyDescent="0.2">
      <c r="A37" s="22" t="s">
        <v>13</v>
      </c>
      <c r="B37" s="54" t="s">
        <v>132</v>
      </c>
      <c r="C37" s="66" t="s">
        <v>132</v>
      </c>
      <c r="D37" s="66" t="s">
        <v>132</v>
      </c>
      <c r="E37" s="66" t="s">
        <v>132</v>
      </c>
      <c r="F37" s="66" t="s">
        <v>132</v>
      </c>
      <c r="G37" s="66" t="s">
        <v>132</v>
      </c>
      <c r="H37" s="66" t="s">
        <v>132</v>
      </c>
      <c r="I37" s="66" t="s">
        <v>132</v>
      </c>
      <c r="J37" s="66" t="s">
        <v>132</v>
      </c>
      <c r="K37" s="66" t="s">
        <v>132</v>
      </c>
      <c r="L37" s="66">
        <v>1.2615053191699299E-5</v>
      </c>
      <c r="M37" s="66">
        <v>5.4067914535790502E-6</v>
      </c>
      <c r="N37" s="66" t="s">
        <v>132</v>
      </c>
      <c r="O37" s="66" t="s">
        <v>132</v>
      </c>
      <c r="P37" s="55">
        <v>1.54889458837042E-6</v>
      </c>
      <c r="Q37" s="59">
        <v>1.9570739233648769E-5</v>
      </c>
    </row>
    <row r="38" spans="1:17" x14ac:dyDescent="0.2">
      <c r="A38" s="23" t="s">
        <v>14</v>
      </c>
      <c r="B38" s="53" t="s">
        <v>132</v>
      </c>
      <c r="C38" s="67" t="s">
        <v>132</v>
      </c>
      <c r="D38" s="67" t="s">
        <v>132</v>
      </c>
      <c r="E38" s="67">
        <v>1.46858193780841E-6</v>
      </c>
      <c r="F38" s="67" t="s">
        <v>132</v>
      </c>
      <c r="G38" s="67" t="s">
        <v>132</v>
      </c>
      <c r="H38" s="67" t="s">
        <v>132</v>
      </c>
      <c r="I38" s="67" t="s">
        <v>132</v>
      </c>
      <c r="J38" s="67" t="s">
        <v>132</v>
      </c>
      <c r="K38" s="67" t="s">
        <v>132</v>
      </c>
      <c r="L38" s="67">
        <v>8.9283113120609704E-6</v>
      </c>
      <c r="M38" s="67">
        <v>6.0309749704959801E-6</v>
      </c>
      <c r="N38" s="67" t="s">
        <v>132</v>
      </c>
      <c r="O38" s="67" t="s">
        <v>132</v>
      </c>
      <c r="P38" s="56">
        <v>1.08135829071581E-6</v>
      </c>
      <c r="Q38" s="58">
        <v>1.750922651108117E-5</v>
      </c>
    </row>
    <row r="39" spans="1:17" x14ac:dyDescent="0.2">
      <c r="A39" s="22" t="s">
        <v>15</v>
      </c>
      <c r="B39" s="54" t="s">
        <v>132</v>
      </c>
      <c r="C39" s="66" t="s">
        <v>132</v>
      </c>
      <c r="D39" s="66" t="s">
        <v>132</v>
      </c>
      <c r="E39" s="66">
        <v>9.7250447159480896E-6</v>
      </c>
      <c r="F39" s="66" t="s">
        <v>132</v>
      </c>
      <c r="G39" s="66">
        <v>2.9084644689110098E-6</v>
      </c>
      <c r="H39" s="66" t="s">
        <v>132</v>
      </c>
      <c r="I39" s="66" t="s">
        <v>132</v>
      </c>
      <c r="J39" s="66">
        <v>1.38124502834245E-5</v>
      </c>
      <c r="K39" s="66" t="s">
        <v>132</v>
      </c>
      <c r="L39" s="66">
        <v>2.00086854780115E-4</v>
      </c>
      <c r="M39" s="66">
        <v>9.9918077771712303E-5</v>
      </c>
      <c r="N39" s="66" t="s">
        <v>132</v>
      </c>
      <c r="O39" s="66">
        <v>1.08135829071581E-6</v>
      </c>
      <c r="P39" s="55">
        <v>9.8067516974488498E-6</v>
      </c>
      <c r="Q39" s="59">
        <v>3.3733900200827563E-4</v>
      </c>
    </row>
    <row r="40" spans="1:17" x14ac:dyDescent="0.2">
      <c r="A40" s="23" t="s">
        <v>16</v>
      </c>
      <c r="B40" s="53" t="s">
        <v>132</v>
      </c>
      <c r="C40" s="67" t="s">
        <v>132</v>
      </c>
      <c r="D40" s="67" t="s">
        <v>132</v>
      </c>
      <c r="E40" s="67" t="s">
        <v>132</v>
      </c>
      <c r="F40" s="67" t="s">
        <v>132</v>
      </c>
      <c r="G40" s="67" t="s">
        <v>132</v>
      </c>
      <c r="H40" s="67" t="s">
        <v>132</v>
      </c>
      <c r="I40" s="67" t="s">
        <v>132</v>
      </c>
      <c r="J40" s="67" t="s">
        <v>132</v>
      </c>
      <c r="K40" s="67" t="s">
        <v>132</v>
      </c>
      <c r="L40" s="67" t="s">
        <v>132</v>
      </c>
      <c r="M40" s="67">
        <v>8.7433479878379802E-6</v>
      </c>
      <c r="N40" s="67" t="s">
        <v>132</v>
      </c>
      <c r="O40" s="67" t="s">
        <v>132</v>
      </c>
      <c r="P40" s="56" t="s">
        <v>132</v>
      </c>
      <c r="Q40" s="58">
        <v>8.7433479878379802E-6</v>
      </c>
    </row>
    <row r="41" spans="1:17" x14ac:dyDescent="0.2">
      <c r="A41" s="22" t="s">
        <v>17</v>
      </c>
      <c r="B41" s="54" t="s">
        <v>132</v>
      </c>
      <c r="C41" s="66" t="s">
        <v>132</v>
      </c>
      <c r="D41" s="66" t="s">
        <v>132</v>
      </c>
      <c r="E41" s="66">
        <v>1.4784301180444501E-5</v>
      </c>
      <c r="F41" s="66">
        <v>4.56776544548801E-6</v>
      </c>
      <c r="G41" s="66" t="s">
        <v>132</v>
      </c>
      <c r="H41" s="66" t="s">
        <v>132</v>
      </c>
      <c r="I41" s="66" t="s">
        <v>132</v>
      </c>
      <c r="J41" s="66">
        <v>5.0421035333246902E-6</v>
      </c>
      <c r="K41" s="66">
        <v>5.0130260163067501E-6</v>
      </c>
      <c r="L41" s="66">
        <v>3.2149110584020897E-5</v>
      </c>
      <c r="M41" s="66">
        <v>4.4118236112765001E-5</v>
      </c>
      <c r="N41" s="66" t="s">
        <v>132</v>
      </c>
      <c r="O41" s="66">
        <v>1.7689511441593201E-6</v>
      </c>
      <c r="P41" s="55">
        <v>3.6542123563904098E-6</v>
      </c>
      <c r="Q41" s="59">
        <v>1.1109770637289958E-4</v>
      </c>
    </row>
    <row r="42" spans="1:17" x14ac:dyDescent="0.2">
      <c r="A42" s="23" t="s">
        <v>89</v>
      </c>
      <c r="B42" s="53" t="s">
        <v>132</v>
      </c>
      <c r="C42" s="67" t="s">
        <v>132</v>
      </c>
      <c r="D42" s="67" t="s">
        <v>132</v>
      </c>
      <c r="E42" s="67" t="s">
        <v>132</v>
      </c>
      <c r="F42" s="67" t="s">
        <v>132</v>
      </c>
      <c r="G42" s="67" t="s">
        <v>132</v>
      </c>
      <c r="H42" s="67" t="s">
        <v>132</v>
      </c>
      <c r="I42" s="67" t="s">
        <v>132</v>
      </c>
      <c r="J42" s="67" t="s">
        <v>132</v>
      </c>
      <c r="K42" s="67" t="s">
        <v>132</v>
      </c>
      <c r="L42" s="67" t="s">
        <v>132</v>
      </c>
      <c r="M42" s="67" t="s">
        <v>132</v>
      </c>
      <c r="N42" s="67" t="s">
        <v>132</v>
      </c>
      <c r="O42" s="67" t="s">
        <v>132</v>
      </c>
      <c r="P42" s="56" t="s">
        <v>132</v>
      </c>
      <c r="Q42" s="58" t="s">
        <v>132</v>
      </c>
    </row>
    <row r="43" spans="1:17" x14ac:dyDescent="0.2">
      <c r="A43" s="22" t="s">
        <v>79</v>
      </c>
      <c r="B43" s="54" t="s">
        <v>132</v>
      </c>
      <c r="C43" s="66" t="s">
        <v>132</v>
      </c>
      <c r="D43" s="66" t="s">
        <v>132</v>
      </c>
      <c r="E43" s="66">
        <v>9.1987152739430894E-6</v>
      </c>
      <c r="F43" s="66" t="s">
        <v>132</v>
      </c>
      <c r="G43" s="66">
        <v>8.8447557207966098E-7</v>
      </c>
      <c r="H43" s="66" t="s">
        <v>132</v>
      </c>
      <c r="I43" s="66" t="s">
        <v>132</v>
      </c>
      <c r="J43" s="66">
        <v>2.65342671623898E-6</v>
      </c>
      <c r="K43" s="66" t="s">
        <v>132</v>
      </c>
      <c r="L43" s="66">
        <v>2.2551982435431202E-6</v>
      </c>
      <c r="M43" s="66">
        <v>2.01207469385122E-6</v>
      </c>
      <c r="N43" s="66" t="s">
        <v>132</v>
      </c>
      <c r="O43" s="66" t="s">
        <v>132</v>
      </c>
      <c r="P43" s="55">
        <v>6.8028585563631803E-6</v>
      </c>
      <c r="Q43" s="59">
        <v>2.380674905601925E-5</v>
      </c>
    </row>
    <row r="44" spans="1:17" x14ac:dyDescent="0.2">
      <c r="A44" s="23" t="s">
        <v>80</v>
      </c>
      <c r="B44" s="53" t="s">
        <v>132</v>
      </c>
      <c r="C44" s="67" t="s">
        <v>132</v>
      </c>
      <c r="D44" s="67" t="s">
        <v>132</v>
      </c>
      <c r="E44" s="67">
        <v>5.7468597008060102E-6</v>
      </c>
      <c r="F44" s="67" t="s">
        <v>132</v>
      </c>
      <c r="G44" s="67">
        <v>3.8722364709260499E-7</v>
      </c>
      <c r="H44" s="67" t="s">
        <v>132</v>
      </c>
      <c r="I44" s="67" t="s">
        <v>132</v>
      </c>
      <c r="J44" s="67" t="s">
        <v>132</v>
      </c>
      <c r="K44" s="67" t="s">
        <v>132</v>
      </c>
      <c r="L44" s="67">
        <v>4.1177614725752298E-5</v>
      </c>
      <c r="M44" s="67">
        <v>2.0449468361183001E-4</v>
      </c>
      <c r="N44" s="67" t="s">
        <v>132</v>
      </c>
      <c r="O44" s="67">
        <v>3.2440748721474298E-6</v>
      </c>
      <c r="P44" s="56">
        <v>4.2878060579079999E-5</v>
      </c>
      <c r="Q44" s="58">
        <v>2.9792851713670839E-4</v>
      </c>
    </row>
    <row r="45" spans="1:17" x14ac:dyDescent="0.2">
      <c r="A45" s="22" t="s">
        <v>18</v>
      </c>
      <c r="B45" s="54" t="s">
        <v>132</v>
      </c>
      <c r="C45" s="66" t="s">
        <v>132</v>
      </c>
      <c r="D45" s="66" t="s">
        <v>132</v>
      </c>
      <c r="E45" s="66">
        <v>1.2088830592944001E-5</v>
      </c>
      <c r="F45" s="66" t="s">
        <v>132</v>
      </c>
      <c r="G45" s="66" t="s">
        <v>132</v>
      </c>
      <c r="H45" s="66" t="s">
        <v>132</v>
      </c>
      <c r="I45" s="66" t="s">
        <v>132</v>
      </c>
      <c r="J45" s="66" t="s">
        <v>132</v>
      </c>
      <c r="K45" s="66" t="s">
        <v>132</v>
      </c>
      <c r="L45" s="66" t="s">
        <v>132</v>
      </c>
      <c r="M45" s="66">
        <v>1.0436307627166201E-5</v>
      </c>
      <c r="N45" s="66" t="s">
        <v>132</v>
      </c>
      <c r="O45" s="66" t="s">
        <v>132</v>
      </c>
      <c r="P45" s="55" t="s">
        <v>132</v>
      </c>
      <c r="Q45" s="59">
        <v>2.2525138220110201E-5</v>
      </c>
    </row>
    <row r="46" spans="1:17" x14ac:dyDescent="0.2">
      <c r="A46" s="23" t="s">
        <v>78</v>
      </c>
      <c r="B46" s="53" t="s">
        <v>132</v>
      </c>
      <c r="C46" s="67" t="s">
        <v>132</v>
      </c>
      <c r="D46" s="67" t="s">
        <v>132</v>
      </c>
      <c r="E46" s="67">
        <v>3.54118993181983E-4</v>
      </c>
      <c r="F46" s="67" t="s">
        <v>132</v>
      </c>
      <c r="G46" s="67">
        <v>1.08135829071581E-6</v>
      </c>
      <c r="H46" s="67" t="s">
        <v>132</v>
      </c>
      <c r="I46" s="67" t="s">
        <v>132</v>
      </c>
      <c r="J46" s="67" t="s">
        <v>132</v>
      </c>
      <c r="K46" s="67">
        <v>3.4860290444600698E-6</v>
      </c>
      <c r="L46" s="67">
        <v>2.0837663912459199E-5</v>
      </c>
      <c r="M46" s="67">
        <v>8.8702847712008708E-6</v>
      </c>
      <c r="N46" s="67" t="s">
        <v>132</v>
      </c>
      <c r="O46" s="67" t="s">
        <v>132</v>
      </c>
      <c r="P46" s="56">
        <v>4.2092412051012202E-6</v>
      </c>
      <c r="Q46" s="58">
        <v>3.9260357040592019E-4</v>
      </c>
    </row>
    <row r="47" spans="1:17" x14ac:dyDescent="0.2">
      <c r="A47" s="22" t="s">
        <v>33</v>
      </c>
      <c r="B47" s="54">
        <v>5.2699691966709102E-4</v>
      </c>
      <c r="C47" s="66">
        <v>1.36523840251853E-3</v>
      </c>
      <c r="D47" s="66">
        <v>2.9711089184951701E-5</v>
      </c>
      <c r="E47" s="66">
        <v>1.4569379748618401E-3</v>
      </c>
      <c r="F47" s="66" t="s">
        <v>132</v>
      </c>
      <c r="G47" s="66">
        <v>1.8035632470409001E-4</v>
      </c>
      <c r="H47" s="66">
        <v>4.64469378326989E-4</v>
      </c>
      <c r="I47" s="66">
        <v>1.56432619111395E-3</v>
      </c>
      <c r="J47" s="66">
        <v>9.7292312928762695E-6</v>
      </c>
      <c r="K47" s="66">
        <v>9.8460824251232605E-5</v>
      </c>
      <c r="L47" s="66">
        <v>3.0993281934203298E-3</v>
      </c>
      <c r="M47" s="66">
        <v>3.7797697852114798E-4</v>
      </c>
      <c r="N47" s="66" t="s">
        <v>132</v>
      </c>
      <c r="O47" s="66" t="s">
        <v>132</v>
      </c>
      <c r="P47" s="55">
        <v>3.9285013135384498E-5</v>
      </c>
      <c r="Q47" s="59">
        <v>9.2128165209984132E-3</v>
      </c>
    </row>
    <row r="48" spans="1:17" x14ac:dyDescent="0.2">
      <c r="A48" s="23" t="s">
        <v>34</v>
      </c>
      <c r="B48" s="53">
        <v>1.5225913616228001E-4</v>
      </c>
      <c r="C48" s="67">
        <v>5.7834546273875104E-4</v>
      </c>
      <c r="D48" s="67">
        <v>2.5802509817959298E-4</v>
      </c>
      <c r="E48" s="67">
        <v>1.9973098374497801E-5</v>
      </c>
      <c r="F48" s="67" t="s">
        <v>132</v>
      </c>
      <c r="G48" s="67" t="s">
        <v>132</v>
      </c>
      <c r="H48" s="67">
        <v>6.6640234859421097E-4</v>
      </c>
      <c r="I48" s="67">
        <v>3.06479587884887E-5</v>
      </c>
      <c r="J48" s="67" t="s">
        <v>132</v>
      </c>
      <c r="K48" s="67" t="s">
        <v>132</v>
      </c>
      <c r="L48" s="67">
        <v>1.2583755844248299E-4</v>
      </c>
      <c r="M48" s="67">
        <v>1.21799721413614E-4</v>
      </c>
      <c r="N48" s="67" t="s">
        <v>132</v>
      </c>
      <c r="O48" s="67" t="s">
        <v>132</v>
      </c>
      <c r="P48" s="56">
        <v>1.8463403592730798E-5</v>
      </c>
      <c r="Q48" s="58">
        <v>1.9717537862866492E-3</v>
      </c>
    </row>
    <row r="49" spans="1:17" x14ac:dyDescent="0.2">
      <c r="A49" s="22" t="s">
        <v>35</v>
      </c>
      <c r="B49" s="54">
        <v>2.9439676781546701E-4</v>
      </c>
      <c r="C49" s="66">
        <v>1.1321942252356101E-3</v>
      </c>
      <c r="D49" s="66" t="s">
        <v>132</v>
      </c>
      <c r="E49" s="66">
        <v>7.2829804297401497E-5</v>
      </c>
      <c r="F49" s="66" t="s">
        <v>132</v>
      </c>
      <c r="G49" s="66" t="s">
        <v>132</v>
      </c>
      <c r="H49" s="66">
        <v>6.2646808753817507E-5</v>
      </c>
      <c r="I49" s="66">
        <v>8.8565290433856398E-5</v>
      </c>
      <c r="J49" s="66" t="s">
        <v>132</v>
      </c>
      <c r="K49" s="66" t="s">
        <v>132</v>
      </c>
      <c r="L49" s="66">
        <v>1.2230413096264199E-4</v>
      </c>
      <c r="M49" s="66">
        <v>1.3693793583370199E-4</v>
      </c>
      <c r="N49" s="66" t="s">
        <v>132</v>
      </c>
      <c r="O49" s="66" t="s">
        <v>132</v>
      </c>
      <c r="P49" s="55" t="s">
        <v>132</v>
      </c>
      <c r="Q49" s="59">
        <v>1.9098749633324962E-3</v>
      </c>
    </row>
    <row r="50" spans="1:17" x14ac:dyDescent="0.2">
      <c r="A50" s="23" t="s">
        <v>36</v>
      </c>
      <c r="B50" s="53">
        <v>1.0962637069171199E-5</v>
      </c>
      <c r="C50" s="67">
        <v>2.8115315558611099E-5</v>
      </c>
      <c r="D50" s="67" t="s">
        <v>132</v>
      </c>
      <c r="E50" s="67" t="s">
        <v>132</v>
      </c>
      <c r="F50" s="67" t="s">
        <v>132</v>
      </c>
      <c r="G50" s="67" t="s">
        <v>132</v>
      </c>
      <c r="H50" s="67">
        <v>7.9602801487169501E-6</v>
      </c>
      <c r="I50" s="67">
        <v>3.00721694507085E-5</v>
      </c>
      <c r="J50" s="67" t="s">
        <v>132</v>
      </c>
      <c r="K50" s="67" t="s">
        <v>132</v>
      </c>
      <c r="L50" s="67">
        <v>3.5379022883186401E-6</v>
      </c>
      <c r="M50" s="67">
        <v>4.5555388382280099E-5</v>
      </c>
      <c r="N50" s="67" t="s">
        <v>132</v>
      </c>
      <c r="O50" s="67" t="s">
        <v>132</v>
      </c>
      <c r="P50" s="56" t="s">
        <v>132</v>
      </c>
      <c r="Q50" s="58">
        <v>1.2620369289780648E-4</v>
      </c>
    </row>
    <row r="51" spans="1:17" x14ac:dyDescent="0.2">
      <c r="A51" s="22" t="s">
        <v>6</v>
      </c>
      <c r="B51" s="54">
        <v>7.8524139377116997E-4</v>
      </c>
      <c r="C51" s="66">
        <v>4.69849292391153E-4</v>
      </c>
      <c r="D51" s="66">
        <v>9.6613641123591494E-6</v>
      </c>
      <c r="E51" s="66">
        <v>2.55121664858356E-4</v>
      </c>
      <c r="F51" s="66">
        <v>1.40449471178252E-5</v>
      </c>
      <c r="G51" s="66">
        <v>9.4982232056003895E-5</v>
      </c>
      <c r="H51" s="66" t="s">
        <v>132</v>
      </c>
      <c r="I51" s="66">
        <v>3.5669798053365899E-6</v>
      </c>
      <c r="J51" s="66">
        <v>9.0192208229042495E-6</v>
      </c>
      <c r="K51" s="66">
        <v>3.75204517751868E-5</v>
      </c>
      <c r="L51" s="66">
        <v>3.2681382781080798E-4</v>
      </c>
      <c r="M51" s="66">
        <v>3.5370495571681698E-4</v>
      </c>
      <c r="N51" s="66" t="s">
        <v>132</v>
      </c>
      <c r="O51" s="66" t="s">
        <v>132</v>
      </c>
      <c r="P51" s="55">
        <v>3.5379022883186401E-6</v>
      </c>
      <c r="Q51" s="59">
        <v>2.3630642325262389E-3</v>
      </c>
    </row>
    <row r="52" spans="1:17" ht="13.5" thickBot="1" x14ac:dyDescent="0.25">
      <c r="A52" s="18" t="s">
        <v>37</v>
      </c>
      <c r="B52" s="20" t="s">
        <v>132</v>
      </c>
      <c r="C52" s="74">
        <v>1.57863877048018E-5</v>
      </c>
      <c r="D52" s="74" t="s">
        <v>132</v>
      </c>
      <c r="E52" s="74">
        <v>6.7366617431701895E-5</v>
      </c>
      <c r="F52" s="74" t="s">
        <v>132</v>
      </c>
      <c r="G52" s="74">
        <v>1.03172776393775E-4</v>
      </c>
      <c r="H52" s="74" t="s">
        <v>132</v>
      </c>
      <c r="I52" s="74">
        <v>9.7292312928762695E-6</v>
      </c>
      <c r="J52" s="74">
        <v>2.8486479414468801E-4</v>
      </c>
      <c r="K52" s="74">
        <v>1.8632409884832799E-4</v>
      </c>
      <c r="L52" s="74">
        <v>3.9481877025688899E-3</v>
      </c>
      <c r="M52" s="74">
        <v>6.05962130394519E-4</v>
      </c>
      <c r="N52" s="74" t="s">
        <v>132</v>
      </c>
      <c r="O52" s="74">
        <v>3.18411205948678E-5</v>
      </c>
      <c r="P52" s="17" t="s">
        <v>132</v>
      </c>
      <c r="Q52" s="19">
        <v>5.2532348593744473E-3</v>
      </c>
    </row>
    <row r="53" spans="1:17" ht="14.25" thickTop="1" thickBot="1" x14ac:dyDescent="0.25">
      <c r="A53" s="28" t="s">
        <v>0</v>
      </c>
      <c r="B53" s="61">
        <v>3.3453018235804458E-3</v>
      </c>
      <c r="C53" s="62">
        <v>3.5906566852692283E-3</v>
      </c>
      <c r="D53" s="62">
        <v>2.1714197648928495E-3</v>
      </c>
      <c r="E53" s="62">
        <v>4.63619060203007E-3</v>
      </c>
      <c r="F53" s="62">
        <v>4.502768552700335E-4</v>
      </c>
      <c r="G53" s="62">
        <v>8.8075634735052324E-4</v>
      </c>
      <c r="H53" s="62">
        <v>1.2081563919276758E-3</v>
      </c>
      <c r="I53" s="62">
        <v>2.1729759932102495E-3</v>
      </c>
      <c r="J53" s="62">
        <v>2.643593055619575E-3</v>
      </c>
      <c r="K53" s="62">
        <v>1.4520624901142565E-3</v>
      </c>
      <c r="L53" s="62">
        <v>1.0232331211395516E-2</v>
      </c>
      <c r="M53" s="62">
        <v>5.2085831571819299E-3</v>
      </c>
      <c r="N53" s="62">
        <v>1.6283773314397652E-5</v>
      </c>
      <c r="O53" s="62">
        <v>1.3386655137237138E-4</v>
      </c>
      <c r="P53" s="63">
        <v>2.6416079451844094E-4</v>
      </c>
      <c r="Q53" s="29">
        <v>3.8406615497047561E-2</v>
      </c>
    </row>
    <row r="56" spans="1:17" ht="15" x14ac:dyDescent="0.25">
      <c r="A56" s="100" t="s">
        <v>92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</row>
    <row r="57" spans="1:17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ht="13.5" thickBot="1" x14ac:dyDescent="0.25">
      <c r="A58" s="31" t="s">
        <v>133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39" thickBot="1" x14ac:dyDescent="0.25">
      <c r="A59" s="25" t="s">
        <v>88</v>
      </c>
      <c r="B59" s="26" t="s">
        <v>38</v>
      </c>
      <c r="C59" s="32" t="s">
        <v>39</v>
      </c>
      <c r="D59" s="32" t="s">
        <v>40</v>
      </c>
      <c r="E59" s="32" t="s">
        <v>41</v>
      </c>
      <c r="F59" s="32" t="s">
        <v>42</v>
      </c>
      <c r="G59" s="32" t="s">
        <v>43</v>
      </c>
      <c r="H59" s="32" t="s">
        <v>44</v>
      </c>
      <c r="I59" s="32" t="s">
        <v>45</v>
      </c>
      <c r="J59" s="32" t="s">
        <v>64</v>
      </c>
      <c r="K59" s="32" t="s">
        <v>46</v>
      </c>
      <c r="L59" s="32" t="s">
        <v>7</v>
      </c>
      <c r="M59" s="32" t="s">
        <v>76</v>
      </c>
      <c r="N59" s="32" t="s">
        <v>47</v>
      </c>
      <c r="O59" s="32" t="s">
        <v>48</v>
      </c>
      <c r="P59" s="27" t="s">
        <v>49</v>
      </c>
      <c r="Q59" s="24" t="s">
        <v>0</v>
      </c>
    </row>
    <row r="60" spans="1:17" x14ac:dyDescent="0.2">
      <c r="A60" s="23" t="s">
        <v>8</v>
      </c>
      <c r="B60" s="53">
        <v>9.2076079331785008E-6</v>
      </c>
      <c r="C60" s="67" t="s">
        <v>132</v>
      </c>
      <c r="D60" s="67" t="s">
        <v>132</v>
      </c>
      <c r="E60" s="67">
        <v>7.7422185891459702E-3</v>
      </c>
      <c r="F60" s="67">
        <v>9.0269494860377108E-6</v>
      </c>
      <c r="G60" s="67">
        <v>3.9574994851578499E-4</v>
      </c>
      <c r="H60" s="67">
        <v>3.7622500374765199E-6</v>
      </c>
      <c r="I60" s="67">
        <v>3.4170663166918299E-4</v>
      </c>
      <c r="J60" s="67">
        <v>1.0239967157846201E-2</v>
      </c>
      <c r="K60" s="67">
        <v>2.9509416248826E-3</v>
      </c>
      <c r="L60" s="67">
        <v>8.4771934147512295E-4</v>
      </c>
      <c r="M60" s="67">
        <v>1.4731317309452999E-4</v>
      </c>
      <c r="N60" s="67" t="s">
        <v>132</v>
      </c>
      <c r="O60" s="67" t="s">
        <v>132</v>
      </c>
      <c r="P60" s="56">
        <v>1.6994609043966501E-4</v>
      </c>
      <c r="Q60" s="58">
        <v>2.2857559364525746E-2</v>
      </c>
    </row>
    <row r="61" spans="1:17" x14ac:dyDescent="0.2">
      <c r="A61" s="22" t="s">
        <v>9</v>
      </c>
      <c r="B61" s="54">
        <v>7.5070536113428302E-3</v>
      </c>
      <c r="C61" s="66" t="s">
        <v>132</v>
      </c>
      <c r="D61" s="66">
        <v>9.2032808318058806E-3</v>
      </c>
      <c r="E61" s="66">
        <v>1.66231397401502E-2</v>
      </c>
      <c r="F61" s="66">
        <v>7.2802444624473599E-3</v>
      </c>
      <c r="G61" s="66">
        <v>2.0442046184438799E-3</v>
      </c>
      <c r="H61" s="66">
        <v>7.7231658371897804E-5</v>
      </c>
      <c r="I61" s="66">
        <v>1.3871714075436099E-3</v>
      </c>
      <c r="J61" s="66">
        <v>1.0896181479407899E-3</v>
      </c>
      <c r="K61" s="66">
        <v>1.81375983915299E-2</v>
      </c>
      <c r="L61" s="66">
        <v>1.32292081672931E-2</v>
      </c>
      <c r="M61" s="66">
        <v>9.7618392362193093E-3</v>
      </c>
      <c r="N61" s="66" t="s">
        <v>132</v>
      </c>
      <c r="O61" s="66" t="s">
        <v>132</v>
      </c>
      <c r="P61" s="55">
        <v>5.8543365282866396E-4</v>
      </c>
      <c r="Q61" s="59">
        <v>8.6926023925917431E-2</v>
      </c>
    </row>
    <row r="62" spans="1:17" x14ac:dyDescent="0.2">
      <c r="A62" s="23" t="s">
        <v>10</v>
      </c>
      <c r="B62" s="53">
        <v>4.16068368254775E-4</v>
      </c>
      <c r="C62" s="67">
        <v>5.1168438269925602E-5</v>
      </c>
      <c r="D62" s="67">
        <v>2.7068586137246798E-4</v>
      </c>
      <c r="E62" s="67">
        <v>2.95331261350836E-3</v>
      </c>
      <c r="F62" s="67">
        <v>3.2954911622956299E-5</v>
      </c>
      <c r="G62" s="67">
        <v>1.01801179225047E-4</v>
      </c>
      <c r="H62" s="67">
        <v>2.0460291940220398E-5</v>
      </c>
      <c r="I62" s="67">
        <v>1.22645074559888E-4</v>
      </c>
      <c r="J62" s="67">
        <v>2.8202098669127899E-4</v>
      </c>
      <c r="K62" s="67">
        <v>2.0522481257968201E-4</v>
      </c>
      <c r="L62" s="67">
        <v>9.4442217910297702E-4</v>
      </c>
      <c r="M62" s="67">
        <v>2.6339761757198498E-3</v>
      </c>
      <c r="N62" s="67">
        <v>4.2091921980244599E-5</v>
      </c>
      <c r="O62" s="67" t="s">
        <v>132</v>
      </c>
      <c r="P62" s="56">
        <v>2.32004919024996E-5</v>
      </c>
      <c r="Q62" s="58">
        <v>8.1000333067301703E-3</v>
      </c>
    </row>
    <row r="63" spans="1:17" x14ac:dyDescent="0.2">
      <c r="A63" s="22" t="s">
        <v>11</v>
      </c>
      <c r="B63" s="54">
        <v>6.9714745779780098E-5</v>
      </c>
      <c r="C63" s="66">
        <v>6.8883134952238198E-5</v>
      </c>
      <c r="D63" s="66">
        <v>8.3240735063093395E-3</v>
      </c>
      <c r="E63" s="66">
        <v>2.61829372242085E-3</v>
      </c>
      <c r="F63" s="66" t="s">
        <v>132</v>
      </c>
      <c r="G63" s="66">
        <v>1.12867501124296E-5</v>
      </c>
      <c r="H63" s="66" t="s">
        <v>132</v>
      </c>
      <c r="I63" s="66">
        <v>1.4176892627388901E-4</v>
      </c>
      <c r="J63" s="66">
        <v>2.32181095625092E-2</v>
      </c>
      <c r="K63" s="66">
        <v>6.7825300976401401E-4</v>
      </c>
      <c r="L63" s="66">
        <v>3.9178982481575001E-3</v>
      </c>
      <c r="M63" s="66">
        <v>5.5159181651794802E-3</v>
      </c>
      <c r="N63" s="66">
        <v>8.2470110564563799E-5</v>
      </c>
      <c r="O63" s="66">
        <v>4.0986577632134497E-5</v>
      </c>
      <c r="P63" s="55">
        <v>1.4110710271554E-4</v>
      </c>
      <c r="Q63" s="59">
        <v>4.4828763562370963E-2</v>
      </c>
    </row>
    <row r="64" spans="1:17" x14ac:dyDescent="0.2">
      <c r="A64" s="23" t="s">
        <v>12</v>
      </c>
      <c r="B64" s="53" t="s">
        <v>132</v>
      </c>
      <c r="C64" s="67" t="s">
        <v>132</v>
      </c>
      <c r="D64" s="67" t="s">
        <v>132</v>
      </c>
      <c r="E64" s="67">
        <v>1.74961994836079E-4</v>
      </c>
      <c r="F64" s="67">
        <v>8.0647997847420607E-5</v>
      </c>
      <c r="G64" s="67">
        <v>3.1726376972870502E-5</v>
      </c>
      <c r="H64" s="67" t="s">
        <v>132</v>
      </c>
      <c r="I64" s="67">
        <v>1.23236860040638E-5</v>
      </c>
      <c r="J64" s="67">
        <v>2.9613844083576802E-3</v>
      </c>
      <c r="K64" s="67">
        <v>8.3158021332773802E-4</v>
      </c>
      <c r="L64" s="67">
        <v>5.06915216813028E-3</v>
      </c>
      <c r="M64" s="67">
        <v>2.6923475912218098E-2</v>
      </c>
      <c r="N64" s="67">
        <v>1.32598089552535E-4</v>
      </c>
      <c r="O64" s="67">
        <v>1.9716161295741701E-4</v>
      </c>
      <c r="P64" s="56">
        <v>4.7241255882141997E-5</v>
      </c>
      <c r="Q64" s="58">
        <v>3.6462253716086329E-2</v>
      </c>
    </row>
    <row r="65" spans="1:17" x14ac:dyDescent="0.2">
      <c r="A65" s="22" t="s">
        <v>13</v>
      </c>
      <c r="B65" s="54" t="s">
        <v>132</v>
      </c>
      <c r="C65" s="66" t="s">
        <v>132</v>
      </c>
      <c r="D65" s="66" t="s">
        <v>132</v>
      </c>
      <c r="E65" s="66" t="s">
        <v>132</v>
      </c>
      <c r="F65" s="66" t="s">
        <v>132</v>
      </c>
      <c r="G65" s="66" t="s">
        <v>132</v>
      </c>
      <c r="H65" s="66" t="s">
        <v>132</v>
      </c>
      <c r="I65" s="66" t="s">
        <v>132</v>
      </c>
      <c r="J65" s="66" t="s">
        <v>132</v>
      </c>
      <c r="K65" s="66">
        <v>5.5106507961790596E-6</v>
      </c>
      <c r="L65" s="66">
        <v>1.52297601659493E-4</v>
      </c>
      <c r="M65" s="66">
        <v>2.37964282794709E-4</v>
      </c>
      <c r="N65" s="66" t="s">
        <v>132</v>
      </c>
      <c r="O65" s="66" t="s">
        <v>132</v>
      </c>
      <c r="P65" s="55">
        <v>3.2742468704401699E-5</v>
      </c>
      <c r="Q65" s="59">
        <v>4.2851500395478276E-4</v>
      </c>
    </row>
    <row r="66" spans="1:17" x14ac:dyDescent="0.2">
      <c r="A66" s="23" t="s">
        <v>14</v>
      </c>
      <c r="B66" s="53" t="s">
        <v>132</v>
      </c>
      <c r="C66" s="67" t="s">
        <v>132</v>
      </c>
      <c r="D66" s="67" t="s">
        <v>132</v>
      </c>
      <c r="E66" s="67">
        <v>1.2248764327046601E-5</v>
      </c>
      <c r="F66" s="67" t="s">
        <v>132</v>
      </c>
      <c r="G66" s="67" t="s">
        <v>132</v>
      </c>
      <c r="H66" s="67" t="s">
        <v>132</v>
      </c>
      <c r="I66" s="67" t="s">
        <v>132</v>
      </c>
      <c r="J66" s="67" t="s">
        <v>132</v>
      </c>
      <c r="K66" s="67" t="s">
        <v>132</v>
      </c>
      <c r="L66" s="67">
        <v>1.7346267081673399E-4</v>
      </c>
      <c r="M66" s="67">
        <v>3.7694906170148299E-5</v>
      </c>
      <c r="N66" s="67" t="s">
        <v>132</v>
      </c>
      <c r="O66" s="67" t="s">
        <v>132</v>
      </c>
      <c r="P66" s="56" t="s">
        <v>132</v>
      </c>
      <c r="Q66" s="58">
        <v>2.2340634131392888E-4</v>
      </c>
    </row>
    <row r="67" spans="1:17" x14ac:dyDescent="0.2">
      <c r="A67" s="22" t="s">
        <v>15</v>
      </c>
      <c r="B67" s="54" t="s">
        <v>132</v>
      </c>
      <c r="C67" s="66" t="s">
        <v>132</v>
      </c>
      <c r="D67" s="66">
        <v>3.51670531344952E-5</v>
      </c>
      <c r="E67" s="66">
        <v>4.6840531767522003E-5</v>
      </c>
      <c r="F67" s="66" t="s">
        <v>132</v>
      </c>
      <c r="G67" s="66">
        <v>1.8811250187382599E-6</v>
      </c>
      <c r="H67" s="66" t="s">
        <v>132</v>
      </c>
      <c r="I67" s="66" t="s">
        <v>132</v>
      </c>
      <c r="J67" s="66">
        <v>1.20620668937517E-4</v>
      </c>
      <c r="K67" s="66" t="s">
        <v>132</v>
      </c>
      <c r="L67" s="66">
        <v>2.8165881630537702E-3</v>
      </c>
      <c r="M67" s="66">
        <v>4.8389814555610598E-4</v>
      </c>
      <c r="N67" s="66" t="s">
        <v>132</v>
      </c>
      <c r="O67" s="66" t="s">
        <v>132</v>
      </c>
      <c r="P67" s="55">
        <v>8.0817631268854703E-5</v>
      </c>
      <c r="Q67" s="59">
        <v>3.5858133187370036E-3</v>
      </c>
    </row>
    <row r="68" spans="1:17" x14ac:dyDescent="0.2">
      <c r="A68" s="23" t="s">
        <v>16</v>
      </c>
      <c r="B68" s="53" t="s">
        <v>132</v>
      </c>
      <c r="C68" s="67" t="s">
        <v>132</v>
      </c>
      <c r="D68" s="67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>
        <v>1.73684104053611E-5</v>
      </c>
      <c r="M68" s="67">
        <v>2.7503086516228501E-5</v>
      </c>
      <c r="N68" s="67" t="s">
        <v>132</v>
      </c>
      <c r="O68" s="67" t="s">
        <v>132</v>
      </c>
      <c r="P68" s="56" t="s">
        <v>132</v>
      </c>
      <c r="Q68" s="58">
        <v>4.4871496921589602E-5</v>
      </c>
    </row>
    <row r="69" spans="1:17" x14ac:dyDescent="0.2">
      <c r="A69" s="22" t="s">
        <v>17</v>
      </c>
      <c r="B69" s="54" t="s">
        <v>132</v>
      </c>
      <c r="C69" s="66" t="s">
        <v>132</v>
      </c>
      <c r="D69" s="66" t="s">
        <v>132</v>
      </c>
      <c r="E69" s="66">
        <v>2.6227447924784302E-4</v>
      </c>
      <c r="F69" s="66">
        <v>5.14483555327379E-5</v>
      </c>
      <c r="G69" s="66">
        <v>3.7622500374765199E-6</v>
      </c>
      <c r="H69" s="66" t="s">
        <v>132</v>
      </c>
      <c r="I69" s="66" t="s">
        <v>132</v>
      </c>
      <c r="J69" s="66">
        <v>1.06750153154066E-5</v>
      </c>
      <c r="K69" s="66">
        <v>3.9870612203113199E-5</v>
      </c>
      <c r="L69" s="66">
        <v>5.24788816473156E-4</v>
      </c>
      <c r="M69" s="66">
        <v>1.3291573785994699E-4</v>
      </c>
      <c r="N69" s="66">
        <v>9.1975369736371998E-5</v>
      </c>
      <c r="O69" s="66" t="s">
        <v>132</v>
      </c>
      <c r="P69" s="55">
        <v>3.8841441701189597E-5</v>
      </c>
      <c r="Q69" s="59">
        <v>1.1565520781072417E-3</v>
      </c>
    </row>
    <row r="70" spans="1:17" x14ac:dyDescent="0.2">
      <c r="A70" s="23" t="s">
        <v>89</v>
      </c>
      <c r="B70" s="53" t="s">
        <v>132</v>
      </c>
      <c r="C70" s="67" t="s">
        <v>132</v>
      </c>
      <c r="D70" s="67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56" t="s">
        <v>132</v>
      </c>
      <c r="Q70" s="58" t="s">
        <v>132</v>
      </c>
    </row>
    <row r="71" spans="1:17" x14ac:dyDescent="0.2">
      <c r="A71" s="22" t="s">
        <v>79</v>
      </c>
      <c r="B71" s="54" t="s">
        <v>132</v>
      </c>
      <c r="C71" s="66" t="s">
        <v>132</v>
      </c>
      <c r="D71" s="66" t="s">
        <v>132</v>
      </c>
      <c r="E71" s="66">
        <v>1.1368128268419799E-3</v>
      </c>
      <c r="F71" s="66" t="s">
        <v>132</v>
      </c>
      <c r="G71" s="66">
        <v>4.5118701425035503E-6</v>
      </c>
      <c r="H71" s="66" t="s">
        <v>132</v>
      </c>
      <c r="I71" s="66" t="s">
        <v>132</v>
      </c>
      <c r="J71" s="66" t="s">
        <v>132</v>
      </c>
      <c r="K71" s="66">
        <v>4.3910357266799801E-5</v>
      </c>
      <c r="L71" s="66">
        <v>1.48159409605367E-5</v>
      </c>
      <c r="M71" s="66" t="s">
        <v>132</v>
      </c>
      <c r="N71" s="66" t="s">
        <v>132</v>
      </c>
      <c r="O71" s="66" t="s">
        <v>132</v>
      </c>
      <c r="P71" s="55" t="s">
        <v>132</v>
      </c>
      <c r="Q71" s="59">
        <v>1.2000509952118201E-3</v>
      </c>
    </row>
    <row r="72" spans="1:17" x14ac:dyDescent="0.2">
      <c r="A72" s="23" t="s">
        <v>80</v>
      </c>
      <c r="B72" s="53" t="s">
        <v>132</v>
      </c>
      <c r="C72" s="67" t="s">
        <v>132</v>
      </c>
      <c r="D72" s="67">
        <v>2.7553253980895298E-6</v>
      </c>
      <c r="E72" s="67" t="s">
        <v>132</v>
      </c>
      <c r="F72" s="67" t="s">
        <v>132</v>
      </c>
      <c r="G72" s="67">
        <v>5.9016555140436103E-6</v>
      </c>
      <c r="H72" s="67" t="s">
        <v>132</v>
      </c>
      <c r="I72" s="67" t="s">
        <v>132</v>
      </c>
      <c r="J72" s="67" t="s">
        <v>132</v>
      </c>
      <c r="K72" s="67" t="s">
        <v>132</v>
      </c>
      <c r="L72" s="67">
        <v>3.4025536541932699E-4</v>
      </c>
      <c r="M72" s="67">
        <v>7.8399405888406395E-4</v>
      </c>
      <c r="N72" s="67">
        <v>1.8415215866357002E-5</v>
      </c>
      <c r="O72" s="67" t="s">
        <v>132</v>
      </c>
      <c r="P72" s="56">
        <v>4.2901395528538401E-4</v>
      </c>
      <c r="Q72" s="58">
        <v>1.5803355763672651E-3</v>
      </c>
    </row>
    <row r="73" spans="1:17" x14ac:dyDescent="0.2">
      <c r="A73" s="22" t="s">
        <v>18</v>
      </c>
      <c r="B73" s="54" t="s">
        <v>132</v>
      </c>
      <c r="C73" s="66" t="s">
        <v>132</v>
      </c>
      <c r="D73" s="66">
        <v>1.8811250187382599E-6</v>
      </c>
      <c r="E73" s="66">
        <v>1.8811250187382599E-6</v>
      </c>
      <c r="F73" s="66" t="s">
        <v>132</v>
      </c>
      <c r="G73" s="66" t="s">
        <v>132</v>
      </c>
      <c r="H73" s="66" t="s">
        <v>132</v>
      </c>
      <c r="I73" s="66" t="s">
        <v>132</v>
      </c>
      <c r="J73" s="66" t="s">
        <v>132</v>
      </c>
      <c r="K73" s="66" t="s">
        <v>132</v>
      </c>
      <c r="L73" s="66" t="s">
        <v>132</v>
      </c>
      <c r="M73" s="66" t="s">
        <v>132</v>
      </c>
      <c r="N73" s="66" t="s">
        <v>132</v>
      </c>
      <c r="O73" s="66" t="s">
        <v>132</v>
      </c>
      <c r="P73" s="55" t="s">
        <v>132</v>
      </c>
      <c r="Q73" s="59">
        <v>3.7622500374765199E-6</v>
      </c>
    </row>
    <row r="74" spans="1:17" x14ac:dyDescent="0.2">
      <c r="A74" s="23" t="s">
        <v>78</v>
      </c>
      <c r="B74" s="53" t="s">
        <v>132</v>
      </c>
      <c r="C74" s="67" t="s">
        <v>132</v>
      </c>
      <c r="D74" s="67" t="s">
        <v>132</v>
      </c>
      <c r="E74" s="67">
        <v>9.4086482094075794E-5</v>
      </c>
      <c r="F74" s="67" t="s">
        <v>132</v>
      </c>
      <c r="G74" s="67" t="s">
        <v>132</v>
      </c>
      <c r="H74" s="67">
        <v>2.7051579334227098E-6</v>
      </c>
      <c r="I74" s="67" t="s">
        <v>132</v>
      </c>
      <c r="J74" s="67">
        <v>2.7553253980895298E-6</v>
      </c>
      <c r="K74" s="67">
        <v>2.7553253980895298E-6</v>
      </c>
      <c r="L74" s="67">
        <v>1.45127500779379E-5</v>
      </c>
      <c r="M74" s="67" t="s">
        <v>132</v>
      </c>
      <c r="N74" s="67" t="s">
        <v>132</v>
      </c>
      <c r="O74" s="67" t="s">
        <v>132</v>
      </c>
      <c r="P74" s="56" t="s">
        <v>132</v>
      </c>
      <c r="Q74" s="58">
        <v>1.1681504090161547E-4</v>
      </c>
    </row>
    <row r="75" spans="1:17" x14ac:dyDescent="0.2">
      <c r="A75" s="22" t="s">
        <v>33</v>
      </c>
      <c r="B75" s="54">
        <v>6.1911207677517299E-3</v>
      </c>
      <c r="C75" s="66">
        <v>8.8757251517168796E-3</v>
      </c>
      <c r="D75" s="66">
        <v>7.11610924042758E-4</v>
      </c>
      <c r="E75" s="66">
        <v>1.8181021351347599E-2</v>
      </c>
      <c r="F75" s="66">
        <v>3.3860250337288697E-5</v>
      </c>
      <c r="G75" s="66">
        <v>3.0368867396753899E-3</v>
      </c>
      <c r="H75" s="66">
        <v>1.8268592580875698E-2</v>
      </c>
      <c r="I75" s="66">
        <v>2.9365216372711899E-2</v>
      </c>
      <c r="J75" s="66">
        <v>5.91010171621522E-4</v>
      </c>
      <c r="K75" s="66">
        <v>3.6217106387544701E-3</v>
      </c>
      <c r="L75" s="66">
        <v>5.3677638937558302E-2</v>
      </c>
      <c r="M75" s="66">
        <v>4.3858520347362304E-3</v>
      </c>
      <c r="N75" s="66" t="s">
        <v>132</v>
      </c>
      <c r="O75" s="66" t="s">
        <v>132</v>
      </c>
      <c r="P75" s="55">
        <v>1.6972423161440899E-3</v>
      </c>
      <c r="Q75" s="59">
        <v>0.14863748823727388</v>
      </c>
    </row>
    <row r="76" spans="1:17" x14ac:dyDescent="0.2">
      <c r="A76" s="23" t="s">
        <v>34</v>
      </c>
      <c r="B76" s="53">
        <v>5.7570448331974297E-3</v>
      </c>
      <c r="C76" s="67">
        <v>9.2293633717825396E-3</v>
      </c>
      <c r="D76" s="67">
        <v>2.63819992868463E-4</v>
      </c>
      <c r="E76" s="67">
        <v>8.5112503930124403E-5</v>
      </c>
      <c r="F76" s="67" t="s">
        <v>132</v>
      </c>
      <c r="G76" s="67">
        <v>3.6830431732714003E-5</v>
      </c>
      <c r="H76" s="67">
        <v>5.2340541128880598E-2</v>
      </c>
      <c r="I76" s="67">
        <v>1.76578174180626E-3</v>
      </c>
      <c r="J76" s="67" t="s">
        <v>132</v>
      </c>
      <c r="K76" s="67">
        <v>5.6808316601876798E-5</v>
      </c>
      <c r="L76" s="67">
        <v>1.92637079414086E-3</v>
      </c>
      <c r="M76" s="67">
        <v>4.0833505277923998E-4</v>
      </c>
      <c r="N76" s="67" t="s">
        <v>132</v>
      </c>
      <c r="O76" s="67" t="s">
        <v>132</v>
      </c>
      <c r="P76" s="56">
        <v>3.4199686608948702E-5</v>
      </c>
      <c r="Q76" s="58">
        <v>7.190420785432905E-2</v>
      </c>
    </row>
    <row r="77" spans="1:17" x14ac:dyDescent="0.2">
      <c r="A77" s="22" t="s">
        <v>35</v>
      </c>
      <c r="B77" s="54">
        <v>1.34901209522383E-3</v>
      </c>
      <c r="C77" s="66">
        <v>1.87467553183835E-2</v>
      </c>
      <c r="D77" s="66" t="s">
        <v>132</v>
      </c>
      <c r="E77" s="66">
        <v>1.4871068267865799E-3</v>
      </c>
      <c r="F77" s="66" t="s">
        <v>132</v>
      </c>
      <c r="G77" s="66">
        <v>2.82168752810739E-5</v>
      </c>
      <c r="H77" s="66">
        <v>3.1105439760533899E-3</v>
      </c>
      <c r="I77" s="66">
        <v>2.8468001069677702E-3</v>
      </c>
      <c r="J77" s="66" t="s">
        <v>132</v>
      </c>
      <c r="K77" s="66">
        <v>1.3227493228126701E-4</v>
      </c>
      <c r="L77" s="66">
        <v>1.4114497324614599E-3</v>
      </c>
      <c r="M77" s="66">
        <v>6.9403782459027095E-4</v>
      </c>
      <c r="N77" s="66" t="s">
        <v>132</v>
      </c>
      <c r="O77" s="66" t="s">
        <v>132</v>
      </c>
      <c r="P77" s="55">
        <v>1.08206317336908E-5</v>
      </c>
      <c r="Q77" s="59">
        <v>2.9817018319762838E-2</v>
      </c>
    </row>
    <row r="78" spans="1:17" x14ac:dyDescent="0.2">
      <c r="A78" s="23" t="s">
        <v>36</v>
      </c>
      <c r="B78" s="53">
        <v>1.5246282198558601E-4</v>
      </c>
      <c r="C78" s="67">
        <v>4.37178269924106E-4</v>
      </c>
      <c r="D78" s="67">
        <v>3.5515059170831302E-5</v>
      </c>
      <c r="E78" s="67">
        <v>9.2076079331785008E-6</v>
      </c>
      <c r="F78" s="67" t="s">
        <v>132</v>
      </c>
      <c r="G78" s="67" t="s">
        <v>132</v>
      </c>
      <c r="H78" s="67">
        <v>8.9588675521878305E-4</v>
      </c>
      <c r="I78" s="67">
        <v>1.3120881898061299E-3</v>
      </c>
      <c r="J78" s="67" t="s">
        <v>132</v>
      </c>
      <c r="K78" s="67" t="s">
        <v>132</v>
      </c>
      <c r="L78" s="67" t="s">
        <v>132</v>
      </c>
      <c r="M78" s="67">
        <v>1.6378451930839201E-4</v>
      </c>
      <c r="N78" s="67" t="s">
        <v>132</v>
      </c>
      <c r="O78" s="67" t="s">
        <v>132</v>
      </c>
      <c r="P78" s="56">
        <v>1.50490001499061E-5</v>
      </c>
      <c r="Q78" s="58">
        <v>3.0211722234969127E-3</v>
      </c>
    </row>
    <row r="79" spans="1:17" x14ac:dyDescent="0.2">
      <c r="A79" s="22" t="s">
        <v>6</v>
      </c>
      <c r="B79" s="54">
        <v>2.2287226302587699E-3</v>
      </c>
      <c r="C79" s="66">
        <v>1.1157323232869501E-3</v>
      </c>
      <c r="D79" s="66">
        <v>6.5184352493947705E-5</v>
      </c>
      <c r="E79" s="66">
        <v>2.0498640426001801E-3</v>
      </c>
      <c r="F79" s="66">
        <v>4.9729353448384599E-5</v>
      </c>
      <c r="G79" s="66">
        <v>5.1193600952911898E-4</v>
      </c>
      <c r="H79" s="66" t="s">
        <v>132</v>
      </c>
      <c r="I79" s="66">
        <v>8.52048331294782E-5</v>
      </c>
      <c r="J79" s="66">
        <v>1.6401629397636399E-4</v>
      </c>
      <c r="K79" s="66">
        <v>2.50295088691392E-4</v>
      </c>
      <c r="L79" s="66">
        <v>1.7760463729529199E-3</v>
      </c>
      <c r="M79" s="66">
        <v>3.4118240158040099E-3</v>
      </c>
      <c r="N79" s="66" t="s">
        <v>132</v>
      </c>
      <c r="O79" s="66" t="s">
        <v>132</v>
      </c>
      <c r="P79" s="55">
        <v>2.5371825025372901E-5</v>
      </c>
      <c r="Q79" s="59">
        <v>1.1733927141196887E-2</v>
      </c>
    </row>
    <row r="80" spans="1:17" ht="13.5" thickBot="1" x14ac:dyDescent="0.25">
      <c r="A80" s="23" t="s">
        <v>37</v>
      </c>
      <c r="B80" s="53" t="s">
        <v>132</v>
      </c>
      <c r="C80" s="67">
        <v>9.3350684595356904E-5</v>
      </c>
      <c r="D80" s="67" t="s">
        <v>132</v>
      </c>
      <c r="E80" s="67">
        <v>6.4618911707668605E-4</v>
      </c>
      <c r="F80" s="67">
        <v>1.54138061382904E-4</v>
      </c>
      <c r="G80" s="67">
        <v>8.4333983277805195E-4</v>
      </c>
      <c r="H80" s="67" t="s">
        <v>132</v>
      </c>
      <c r="I80" s="67">
        <v>2.1641263467381699E-5</v>
      </c>
      <c r="J80" s="67">
        <v>4.6059639432627798E-3</v>
      </c>
      <c r="K80" s="67">
        <v>1.49135155297462E-3</v>
      </c>
      <c r="L80" s="67">
        <v>5.0669329739197903E-2</v>
      </c>
      <c r="M80" s="67">
        <v>3.2879787159511599E-3</v>
      </c>
      <c r="N80" s="67" t="s">
        <v>132</v>
      </c>
      <c r="O80" s="67">
        <v>1.31537256188264E-5</v>
      </c>
      <c r="P80" s="56">
        <v>8.5253185563727705E-5</v>
      </c>
      <c r="Q80" s="58">
        <v>6.1911689821869391E-2</v>
      </c>
    </row>
    <row r="81" spans="1:17" ht="14.25" thickTop="1" thickBot="1" x14ac:dyDescent="0.25">
      <c r="A81" s="28" t="s">
        <v>0</v>
      </c>
      <c r="B81" s="61">
        <v>2.3680407481727908E-2</v>
      </c>
      <c r="C81" s="62">
        <v>3.8618156692911493E-2</v>
      </c>
      <c r="D81" s="62">
        <v>1.8913974031615009E-2</v>
      </c>
      <c r="E81" s="62">
        <v>5.4124572319033018E-2</v>
      </c>
      <c r="F81" s="62">
        <v>7.6920503421050888E-3</v>
      </c>
      <c r="G81" s="62">
        <v>7.058035662979122E-3</v>
      </c>
      <c r="H81" s="62">
        <v>7.471972379931148E-2</v>
      </c>
      <c r="I81" s="62">
        <v>3.7402348233939564E-2</v>
      </c>
      <c r="J81" s="62">
        <v>4.3286141681856828E-2</v>
      </c>
      <c r="K81" s="62">
        <v>2.8448085527051737E-2</v>
      </c>
      <c r="L81" s="62">
        <v>0.13752332539933676</v>
      </c>
      <c r="M81" s="62">
        <v>5.9038305043381784E-2</v>
      </c>
      <c r="N81" s="62">
        <v>3.6755070770007239E-4</v>
      </c>
      <c r="O81" s="62">
        <v>2.5130191620837788E-4</v>
      </c>
      <c r="P81" s="63">
        <v>3.416280735954077E-3</v>
      </c>
      <c r="Q81" s="29">
        <v>0.53454025957511231</v>
      </c>
    </row>
    <row r="84" spans="1:17" ht="15" x14ac:dyDescent="0.25">
      <c r="A84" s="100" t="s">
        <v>94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</row>
    <row r="85" spans="1:17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1:17" ht="13.5" thickBot="1" x14ac:dyDescent="0.25">
      <c r="A86" s="31" t="s">
        <v>133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1:17" ht="39" thickBot="1" x14ac:dyDescent="0.25">
      <c r="A87" s="25" t="s">
        <v>88</v>
      </c>
      <c r="B87" s="26" t="s">
        <v>38</v>
      </c>
      <c r="C87" s="32" t="s">
        <v>39</v>
      </c>
      <c r="D87" s="32" t="s">
        <v>40</v>
      </c>
      <c r="E87" s="32" t="s">
        <v>41</v>
      </c>
      <c r="F87" s="32" t="s">
        <v>42</v>
      </c>
      <c r="G87" s="32" t="s">
        <v>43</v>
      </c>
      <c r="H87" s="32" t="s">
        <v>44</v>
      </c>
      <c r="I87" s="32" t="s">
        <v>45</v>
      </c>
      <c r="J87" s="32" t="s">
        <v>64</v>
      </c>
      <c r="K87" s="32" t="s">
        <v>46</v>
      </c>
      <c r="L87" s="32" t="s">
        <v>7</v>
      </c>
      <c r="M87" s="32" t="s">
        <v>76</v>
      </c>
      <c r="N87" s="32" t="s">
        <v>47</v>
      </c>
      <c r="O87" s="32" t="s">
        <v>48</v>
      </c>
      <c r="P87" s="27" t="s">
        <v>49</v>
      </c>
      <c r="Q87" s="24" t="s">
        <v>0</v>
      </c>
    </row>
    <row r="88" spans="1:17" x14ac:dyDescent="0.2">
      <c r="A88" s="23" t="s">
        <v>8</v>
      </c>
      <c r="B88" s="53" t="s">
        <v>132</v>
      </c>
      <c r="C88" s="67" t="s">
        <v>132</v>
      </c>
      <c r="D88" s="67" t="s">
        <v>132</v>
      </c>
      <c r="E88" s="67">
        <v>1.3691408345093399E-3</v>
      </c>
      <c r="F88" s="67" t="s">
        <v>132</v>
      </c>
      <c r="G88" s="67" t="s">
        <v>132</v>
      </c>
      <c r="H88" s="67" t="s">
        <v>132</v>
      </c>
      <c r="I88" s="67" t="s">
        <v>132</v>
      </c>
      <c r="J88" s="67">
        <v>1.3739880878985201E-3</v>
      </c>
      <c r="K88" s="67">
        <v>5.0842389241045297E-4</v>
      </c>
      <c r="L88" s="67">
        <v>1.4464717537792599E-4</v>
      </c>
      <c r="M88" s="67">
        <v>1.3139743661059599E-5</v>
      </c>
      <c r="N88" s="67" t="s">
        <v>132</v>
      </c>
      <c r="O88" s="67" t="s">
        <v>132</v>
      </c>
      <c r="P88" s="56" t="s">
        <v>132</v>
      </c>
      <c r="Q88" s="58">
        <v>3.4093397338572987E-3</v>
      </c>
    </row>
    <row r="89" spans="1:17" x14ac:dyDescent="0.2">
      <c r="A89" s="22" t="s">
        <v>9</v>
      </c>
      <c r="B89" s="54">
        <v>1.5615137419858199E-4</v>
      </c>
      <c r="C89" s="66" t="s">
        <v>132</v>
      </c>
      <c r="D89" s="66">
        <v>2.27020985942693E-4</v>
      </c>
      <c r="E89" s="66">
        <v>2.5757340026557398E-4</v>
      </c>
      <c r="F89" s="66">
        <v>8.2284659296133597E-5</v>
      </c>
      <c r="G89" s="66">
        <v>3.7031317816504801E-5</v>
      </c>
      <c r="H89" s="66" t="s">
        <v>132</v>
      </c>
      <c r="I89" s="66">
        <v>7.2311527153385498E-6</v>
      </c>
      <c r="J89" s="66">
        <v>3.6155763576692698E-6</v>
      </c>
      <c r="K89" s="66">
        <v>2.58666725201974E-4</v>
      </c>
      <c r="L89" s="66">
        <v>2.1347127204694299E-4</v>
      </c>
      <c r="M89" s="66">
        <v>1.7077959841719299E-4</v>
      </c>
      <c r="N89" s="66" t="s">
        <v>132</v>
      </c>
      <c r="O89" s="66" t="s">
        <v>132</v>
      </c>
      <c r="P89" s="55">
        <v>7.7191747968750504E-6</v>
      </c>
      <c r="Q89" s="59">
        <v>1.42154523705548E-3</v>
      </c>
    </row>
    <row r="90" spans="1:17" x14ac:dyDescent="0.2">
      <c r="A90" s="23" t="s">
        <v>10</v>
      </c>
      <c r="B90" s="53">
        <v>2.4111273926770901E-5</v>
      </c>
      <c r="C90" s="67" t="s">
        <v>132</v>
      </c>
      <c r="D90" s="67">
        <v>4.3799145536865396E-6</v>
      </c>
      <c r="E90" s="67">
        <v>1.10353353888274E-4</v>
      </c>
      <c r="F90" s="67">
        <v>1.44623054306771E-5</v>
      </c>
      <c r="G90" s="67" t="s">
        <v>132</v>
      </c>
      <c r="H90" s="67" t="s">
        <v>132</v>
      </c>
      <c r="I90" s="67">
        <v>7.2311527153385498E-6</v>
      </c>
      <c r="J90" s="67" t="s">
        <v>132</v>
      </c>
      <c r="K90" s="67">
        <v>1.6479084716224401E-6</v>
      </c>
      <c r="L90" s="67">
        <v>1.5226643626694401E-5</v>
      </c>
      <c r="M90" s="67">
        <v>1.5226643626694401E-5</v>
      </c>
      <c r="N90" s="67" t="s">
        <v>132</v>
      </c>
      <c r="O90" s="67" t="s">
        <v>132</v>
      </c>
      <c r="P90" s="56" t="s">
        <v>132</v>
      </c>
      <c r="Q90" s="58">
        <v>1.9263919623975831E-4</v>
      </c>
    </row>
    <row r="91" spans="1:17" x14ac:dyDescent="0.2">
      <c r="A91" s="22" t="s">
        <v>11</v>
      </c>
      <c r="B91" s="54" t="s">
        <v>132</v>
      </c>
      <c r="C91" s="66" t="s">
        <v>132</v>
      </c>
      <c r="D91" s="66">
        <v>1.5095504907248699E-4</v>
      </c>
      <c r="E91" s="66">
        <v>1.9530809806724801E-5</v>
      </c>
      <c r="F91" s="66" t="s">
        <v>132</v>
      </c>
      <c r="G91" s="66" t="s">
        <v>132</v>
      </c>
      <c r="H91" s="66" t="s">
        <v>132</v>
      </c>
      <c r="I91" s="66" t="s">
        <v>132</v>
      </c>
      <c r="J91" s="66">
        <v>1.7624718197889599E-4</v>
      </c>
      <c r="K91" s="66">
        <v>6.0278230253089799E-6</v>
      </c>
      <c r="L91" s="66">
        <v>4.3386916292031299E-5</v>
      </c>
      <c r="M91" s="66">
        <v>9.6095003398415806E-5</v>
      </c>
      <c r="N91" s="66" t="s">
        <v>132</v>
      </c>
      <c r="O91" s="66">
        <v>2.53090345036849E-5</v>
      </c>
      <c r="P91" s="55">
        <v>3.8595873984375201E-6</v>
      </c>
      <c r="Q91" s="59">
        <v>5.2141140547598639E-4</v>
      </c>
    </row>
    <row r="92" spans="1:17" x14ac:dyDescent="0.2">
      <c r="A92" s="23" t="s">
        <v>12</v>
      </c>
      <c r="B92" s="53" t="s">
        <v>132</v>
      </c>
      <c r="C92" s="67" t="s">
        <v>132</v>
      </c>
      <c r="D92" s="67" t="s">
        <v>132</v>
      </c>
      <c r="E92" s="67" t="s">
        <v>132</v>
      </c>
      <c r="F92" s="67" t="s">
        <v>132</v>
      </c>
      <c r="G92" s="67" t="s">
        <v>132</v>
      </c>
      <c r="H92" s="67" t="s">
        <v>132</v>
      </c>
      <c r="I92" s="67" t="s">
        <v>132</v>
      </c>
      <c r="J92" s="67">
        <v>7.4341214472587597E-5</v>
      </c>
      <c r="K92" s="67" t="s">
        <v>132</v>
      </c>
      <c r="L92" s="67">
        <v>2.7303195572295201E-5</v>
      </c>
      <c r="M92" s="67">
        <v>1.58514590278698E-4</v>
      </c>
      <c r="N92" s="67" t="s">
        <v>132</v>
      </c>
      <c r="O92" s="67">
        <v>6.6815165452498507E-5</v>
      </c>
      <c r="P92" s="56" t="s">
        <v>132</v>
      </c>
      <c r="Q92" s="58">
        <v>3.2697416577607934E-4</v>
      </c>
    </row>
    <row r="93" spans="1:17" x14ac:dyDescent="0.2">
      <c r="A93" s="22" t="s">
        <v>13</v>
      </c>
      <c r="B93" s="54" t="s">
        <v>132</v>
      </c>
      <c r="C93" s="66" t="s">
        <v>132</v>
      </c>
      <c r="D93" s="66" t="s">
        <v>132</v>
      </c>
      <c r="E93" s="66" t="s">
        <v>132</v>
      </c>
      <c r="F93" s="66" t="s">
        <v>132</v>
      </c>
      <c r="G93" s="66" t="s">
        <v>132</v>
      </c>
      <c r="H93" s="66" t="s">
        <v>132</v>
      </c>
      <c r="I93" s="66" t="s">
        <v>132</v>
      </c>
      <c r="J93" s="66" t="s">
        <v>132</v>
      </c>
      <c r="K93" s="66" t="s">
        <v>132</v>
      </c>
      <c r="L93" s="66" t="s">
        <v>132</v>
      </c>
      <c r="M93" s="66" t="s">
        <v>132</v>
      </c>
      <c r="N93" s="66" t="s">
        <v>132</v>
      </c>
      <c r="O93" s="66" t="s">
        <v>132</v>
      </c>
      <c r="P93" s="55" t="s">
        <v>132</v>
      </c>
      <c r="Q93" s="59" t="s">
        <v>132</v>
      </c>
    </row>
    <row r="94" spans="1:17" x14ac:dyDescent="0.2">
      <c r="A94" s="23" t="s">
        <v>14</v>
      </c>
      <c r="B94" s="53" t="s">
        <v>132</v>
      </c>
      <c r="C94" s="67" t="s">
        <v>132</v>
      </c>
      <c r="D94" s="67" t="s">
        <v>132</v>
      </c>
      <c r="E94" s="67" t="s">
        <v>132</v>
      </c>
      <c r="F94" s="67" t="s">
        <v>132</v>
      </c>
      <c r="G94" s="67" t="s">
        <v>132</v>
      </c>
      <c r="H94" s="67" t="s">
        <v>132</v>
      </c>
      <c r="I94" s="67" t="s">
        <v>132</v>
      </c>
      <c r="J94" s="67" t="s">
        <v>132</v>
      </c>
      <c r="K94" s="67" t="s">
        <v>132</v>
      </c>
      <c r="L94" s="67" t="s">
        <v>132</v>
      </c>
      <c r="M94" s="67" t="s">
        <v>132</v>
      </c>
      <c r="N94" s="67" t="s">
        <v>132</v>
      </c>
      <c r="O94" s="67" t="s">
        <v>132</v>
      </c>
      <c r="P94" s="56" t="s">
        <v>132</v>
      </c>
      <c r="Q94" s="58" t="s">
        <v>132</v>
      </c>
    </row>
    <row r="95" spans="1:17" x14ac:dyDescent="0.2">
      <c r="A95" s="22" t="s">
        <v>15</v>
      </c>
      <c r="B95" s="54" t="s">
        <v>132</v>
      </c>
      <c r="C95" s="66" t="s">
        <v>132</v>
      </c>
      <c r="D95" s="66" t="s">
        <v>132</v>
      </c>
      <c r="E95" s="66">
        <v>2.8924610861354199E-5</v>
      </c>
      <c r="F95" s="66" t="s">
        <v>132</v>
      </c>
      <c r="G95" s="66" t="s">
        <v>132</v>
      </c>
      <c r="H95" s="66" t="s">
        <v>132</v>
      </c>
      <c r="I95" s="66" t="s">
        <v>132</v>
      </c>
      <c r="J95" s="66" t="s">
        <v>132</v>
      </c>
      <c r="K95" s="66" t="s">
        <v>132</v>
      </c>
      <c r="L95" s="66">
        <v>3.5847160562964499E-5</v>
      </c>
      <c r="M95" s="66" t="s">
        <v>132</v>
      </c>
      <c r="N95" s="66" t="s">
        <v>132</v>
      </c>
      <c r="O95" s="66" t="s">
        <v>132</v>
      </c>
      <c r="P95" s="55" t="s">
        <v>132</v>
      </c>
      <c r="Q95" s="59">
        <v>6.4771771424318691E-5</v>
      </c>
    </row>
    <row r="96" spans="1:17" x14ac:dyDescent="0.2">
      <c r="A96" s="23" t="s">
        <v>16</v>
      </c>
      <c r="B96" s="53" t="s">
        <v>132</v>
      </c>
      <c r="C96" s="67" t="s">
        <v>132</v>
      </c>
      <c r="D96" s="67" t="s">
        <v>132</v>
      </c>
      <c r="E96" s="67" t="s">
        <v>132</v>
      </c>
      <c r="F96" s="67" t="s">
        <v>132</v>
      </c>
      <c r="G96" s="67" t="s">
        <v>132</v>
      </c>
      <c r="H96" s="67" t="s">
        <v>132</v>
      </c>
      <c r="I96" s="67" t="s">
        <v>132</v>
      </c>
      <c r="J96" s="67" t="s">
        <v>132</v>
      </c>
      <c r="K96" s="67" t="s">
        <v>132</v>
      </c>
      <c r="L96" s="67" t="s">
        <v>132</v>
      </c>
      <c r="M96" s="67" t="s">
        <v>132</v>
      </c>
      <c r="N96" s="67" t="s">
        <v>132</v>
      </c>
      <c r="O96" s="67" t="s">
        <v>132</v>
      </c>
      <c r="P96" s="56" t="s">
        <v>132</v>
      </c>
      <c r="Q96" s="58" t="s">
        <v>132</v>
      </c>
    </row>
    <row r="97" spans="1:17" x14ac:dyDescent="0.2">
      <c r="A97" s="22" t="s">
        <v>17</v>
      </c>
      <c r="B97" s="54" t="s">
        <v>132</v>
      </c>
      <c r="C97" s="66" t="s">
        <v>132</v>
      </c>
      <c r="D97" s="66" t="s">
        <v>132</v>
      </c>
      <c r="E97" s="66">
        <v>2.53090345036849E-5</v>
      </c>
      <c r="F97" s="66" t="s">
        <v>132</v>
      </c>
      <c r="G97" s="66" t="s">
        <v>132</v>
      </c>
      <c r="H97" s="66" t="s">
        <v>132</v>
      </c>
      <c r="I97" s="66" t="s">
        <v>132</v>
      </c>
      <c r="J97" s="66" t="s">
        <v>132</v>
      </c>
      <c r="K97" s="66" t="s">
        <v>132</v>
      </c>
      <c r="L97" s="66">
        <v>2.9318935594084098E-5</v>
      </c>
      <c r="M97" s="66">
        <v>4.3799145536865396E-6</v>
      </c>
      <c r="N97" s="66" t="s">
        <v>132</v>
      </c>
      <c r="O97" s="66" t="s">
        <v>132</v>
      </c>
      <c r="P97" s="55" t="s">
        <v>132</v>
      </c>
      <c r="Q97" s="59">
        <v>5.9007884651455538E-5</v>
      </c>
    </row>
    <row r="98" spans="1:17" x14ac:dyDescent="0.2">
      <c r="A98" s="23" t="s">
        <v>89</v>
      </c>
      <c r="B98" s="53" t="s">
        <v>132</v>
      </c>
      <c r="C98" s="67" t="s">
        <v>132</v>
      </c>
      <c r="D98" s="67" t="s">
        <v>132</v>
      </c>
      <c r="E98" s="67" t="s">
        <v>132</v>
      </c>
      <c r="F98" s="67" t="s">
        <v>132</v>
      </c>
      <c r="G98" s="67" t="s">
        <v>132</v>
      </c>
      <c r="H98" s="67" t="s">
        <v>132</v>
      </c>
      <c r="I98" s="67" t="s">
        <v>132</v>
      </c>
      <c r="J98" s="67" t="s">
        <v>132</v>
      </c>
      <c r="K98" s="67" t="s">
        <v>132</v>
      </c>
      <c r="L98" s="67" t="s">
        <v>132</v>
      </c>
      <c r="M98" s="67" t="s">
        <v>132</v>
      </c>
      <c r="N98" s="67" t="s">
        <v>132</v>
      </c>
      <c r="O98" s="67" t="s">
        <v>132</v>
      </c>
      <c r="P98" s="56" t="s">
        <v>132</v>
      </c>
      <c r="Q98" s="58" t="s">
        <v>132</v>
      </c>
    </row>
    <row r="99" spans="1:17" x14ac:dyDescent="0.2">
      <c r="A99" s="22" t="s">
        <v>79</v>
      </c>
      <c r="B99" s="54" t="s">
        <v>132</v>
      </c>
      <c r="C99" s="66" t="s">
        <v>132</v>
      </c>
      <c r="D99" s="66" t="s">
        <v>132</v>
      </c>
      <c r="E99" s="66" t="s">
        <v>132</v>
      </c>
      <c r="F99" s="66" t="s">
        <v>132</v>
      </c>
      <c r="G99" s="66" t="s">
        <v>132</v>
      </c>
      <c r="H99" s="66" t="s">
        <v>132</v>
      </c>
      <c r="I99" s="66" t="s">
        <v>132</v>
      </c>
      <c r="J99" s="66" t="s">
        <v>132</v>
      </c>
      <c r="K99" s="66" t="s">
        <v>132</v>
      </c>
      <c r="L99" s="66" t="s">
        <v>132</v>
      </c>
      <c r="M99" s="66" t="s">
        <v>132</v>
      </c>
      <c r="N99" s="66" t="s">
        <v>132</v>
      </c>
      <c r="O99" s="66" t="s">
        <v>132</v>
      </c>
      <c r="P99" s="55" t="s">
        <v>132</v>
      </c>
      <c r="Q99" s="59" t="s">
        <v>132</v>
      </c>
    </row>
    <row r="100" spans="1:17" x14ac:dyDescent="0.2">
      <c r="A100" s="23" t="s">
        <v>80</v>
      </c>
      <c r="B100" s="53" t="s">
        <v>132</v>
      </c>
      <c r="C100" s="67" t="s">
        <v>132</v>
      </c>
      <c r="D100" s="67" t="s">
        <v>132</v>
      </c>
      <c r="E100" s="67" t="s">
        <v>132</v>
      </c>
      <c r="F100" s="67" t="s">
        <v>132</v>
      </c>
      <c r="G100" s="67" t="s">
        <v>132</v>
      </c>
      <c r="H100" s="67" t="s">
        <v>132</v>
      </c>
      <c r="I100" s="67" t="s">
        <v>132</v>
      </c>
      <c r="J100" s="67" t="s">
        <v>132</v>
      </c>
      <c r="K100" s="67" t="s">
        <v>132</v>
      </c>
      <c r="L100" s="67" t="s">
        <v>132</v>
      </c>
      <c r="M100" s="67">
        <v>3.06504496197537E-5</v>
      </c>
      <c r="N100" s="67" t="s">
        <v>132</v>
      </c>
      <c r="O100" s="67" t="s">
        <v>132</v>
      </c>
      <c r="P100" s="56" t="s">
        <v>132</v>
      </c>
      <c r="Q100" s="58">
        <v>3.06504496197537E-5</v>
      </c>
    </row>
    <row r="101" spans="1:17" x14ac:dyDescent="0.2">
      <c r="A101" s="22" t="s">
        <v>18</v>
      </c>
      <c r="B101" s="54" t="s">
        <v>132</v>
      </c>
      <c r="C101" s="66" t="s">
        <v>132</v>
      </c>
      <c r="D101" s="66" t="s">
        <v>132</v>
      </c>
      <c r="E101" s="66" t="s">
        <v>132</v>
      </c>
      <c r="F101" s="66" t="s">
        <v>132</v>
      </c>
      <c r="G101" s="66" t="s">
        <v>132</v>
      </c>
      <c r="H101" s="66" t="s">
        <v>132</v>
      </c>
      <c r="I101" s="66" t="s">
        <v>132</v>
      </c>
      <c r="J101" s="66" t="s">
        <v>132</v>
      </c>
      <c r="K101" s="66" t="s">
        <v>132</v>
      </c>
      <c r="L101" s="66" t="s">
        <v>132</v>
      </c>
      <c r="M101" s="66" t="s">
        <v>132</v>
      </c>
      <c r="N101" s="66" t="s">
        <v>132</v>
      </c>
      <c r="O101" s="66" t="s">
        <v>132</v>
      </c>
      <c r="P101" s="55" t="s">
        <v>132</v>
      </c>
      <c r="Q101" s="59" t="s">
        <v>132</v>
      </c>
    </row>
    <row r="102" spans="1:17" x14ac:dyDescent="0.2">
      <c r="A102" s="23" t="s">
        <v>78</v>
      </c>
      <c r="B102" s="53" t="s">
        <v>132</v>
      </c>
      <c r="C102" s="67" t="s">
        <v>132</v>
      </c>
      <c r="D102" s="67" t="s">
        <v>132</v>
      </c>
      <c r="E102" s="67">
        <v>7.4372895692787303E-6</v>
      </c>
      <c r="F102" s="67" t="s">
        <v>132</v>
      </c>
      <c r="G102" s="67" t="s">
        <v>132</v>
      </c>
      <c r="H102" s="67" t="s">
        <v>132</v>
      </c>
      <c r="I102" s="67">
        <v>1.9297936992187601E-6</v>
      </c>
      <c r="J102" s="67" t="s">
        <v>132</v>
      </c>
      <c r="K102" s="67">
        <v>4.3799145536865396E-6</v>
      </c>
      <c r="L102" s="67" t="s">
        <v>132</v>
      </c>
      <c r="M102" s="67" t="s">
        <v>132</v>
      </c>
      <c r="N102" s="67" t="s">
        <v>132</v>
      </c>
      <c r="O102" s="67" t="s">
        <v>132</v>
      </c>
      <c r="P102" s="56" t="s">
        <v>132</v>
      </c>
      <c r="Q102" s="58">
        <v>1.374699782218403E-5</v>
      </c>
    </row>
    <row r="103" spans="1:17" x14ac:dyDescent="0.2">
      <c r="A103" s="22" t="s">
        <v>33</v>
      </c>
      <c r="B103" s="54">
        <v>9.3766909577311104E-5</v>
      </c>
      <c r="C103" s="66" t="s">
        <v>132</v>
      </c>
      <c r="D103" s="66" t="s">
        <v>132</v>
      </c>
      <c r="E103" s="66">
        <v>5.7509188473129399E-4</v>
      </c>
      <c r="F103" s="66" t="s">
        <v>132</v>
      </c>
      <c r="G103" s="66" t="s">
        <v>132</v>
      </c>
      <c r="H103" s="66">
        <v>7.5927103511054701E-5</v>
      </c>
      <c r="I103" s="66">
        <v>3.58460386248963E-4</v>
      </c>
      <c r="J103" s="66" t="s">
        <v>132</v>
      </c>
      <c r="K103" s="66" t="s">
        <v>132</v>
      </c>
      <c r="L103" s="66">
        <v>3.11580368465425E-4</v>
      </c>
      <c r="M103" s="66" t="s">
        <v>132</v>
      </c>
      <c r="N103" s="66" t="s">
        <v>132</v>
      </c>
      <c r="O103" s="66" t="s">
        <v>132</v>
      </c>
      <c r="P103" s="55" t="s">
        <v>132</v>
      </c>
      <c r="Q103" s="59">
        <v>1.4148266525340477E-3</v>
      </c>
    </row>
    <row r="104" spans="1:17" x14ac:dyDescent="0.2">
      <c r="A104" s="23" t="s">
        <v>34</v>
      </c>
      <c r="B104" s="53">
        <v>1.4507146621091401E-4</v>
      </c>
      <c r="C104" s="67">
        <v>3.4314648516308001E-5</v>
      </c>
      <c r="D104" s="67" t="s">
        <v>132</v>
      </c>
      <c r="E104" s="67" t="s">
        <v>132</v>
      </c>
      <c r="F104" s="67" t="s">
        <v>132</v>
      </c>
      <c r="G104" s="67" t="s">
        <v>132</v>
      </c>
      <c r="H104" s="67">
        <v>9.1978205627417294E-5</v>
      </c>
      <c r="I104" s="67" t="s">
        <v>132</v>
      </c>
      <c r="J104" s="67" t="s">
        <v>132</v>
      </c>
      <c r="K104" s="67" t="s">
        <v>132</v>
      </c>
      <c r="L104" s="67" t="s">
        <v>132</v>
      </c>
      <c r="M104" s="67" t="s">
        <v>132</v>
      </c>
      <c r="N104" s="67" t="s">
        <v>132</v>
      </c>
      <c r="O104" s="67" t="s">
        <v>132</v>
      </c>
      <c r="P104" s="56" t="s">
        <v>132</v>
      </c>
      <c r="Q104" s="58">
        <v>2.7136432035463931E-4</v>
      </c>
    </row>
    <row r="105" spans="1:17" x14ac:dyDescent="0.2">
      <c r="A105" s="22" t="s">
        <v>35</v>
      </c>
      <c r="B105" s="54">
        <v>3.6155763576692701E-5</v>
      </c>
      <c r="C105" s="66">
        <v>4.9145824760909997E-5</v>
      </c>
      <c r="D105" s="66" t="s">
        <v>132</v>
      </c>
      <c r="E105" s="66" t="s">
        <v>132</v>
      </c>
      <c r="F105" s="66" t="s">
        <v>132</v>
      </c>
      <c r="G105" s="66" t="s">
        <v>132</v>
      </c>
      <c r="H105" s="66">
        <v>2.5813229325071798E-4</v>
      </c>
      <c r="I105" s="66" t="s">
        <v>132</v>
      </c>
      <c r="J105" s="66" t="s">
        <v>132</v>
      </c>
      <c r="K105" s="66" t="s">
        <v>132</v>
      </c>
      <c r="L105" s="66" t="s">
        <v>132</v>
      </c>
      <c r="M105" s="66" t="s">
        <v>132</v>
      </c>
      <c r="N105" s="66" t="s">
        <v>132</v>
      </c>
      <c r="O105" s="66" t="s">
        <v>132</v>
      </c>
      <c r="P105" s="55" t="s">
        <v>132</v>
      </c>
      <c r="Q105" s="59">
        <v>3.4343388158832066E-4</v>
      </c>
    </row>
    <row r="106" spans="1:17" x14ac:dyDescent="0.2">
      <c r="A106" s="23" t="s">
        <v>36</v>
      </c>
      <c r="B106" s="53" t="s">
        <v>132</v>
      </c>
      <c r="C106" s="67" t="s">
        <v>132</v>
      </c>
      <c r="D106" s="67" t="s">
        <v>132</v>
      </c>
      <c r="E106" s="67" t="s">
        <v>132</v>
      </c>
      <c r="F106" s="67" t="s">
        <v>132</v>
      </c>
      <c r="G106" s="67" t="s">
        <v>132</v>
      </c>
      <c r="H106" s="67" t="s">
        <v>132</v>
      </c>
      <c r="I106" s="67" t="s">
        <v>132</v>
      </c>
      <c r="J106" s="67" t="s">
        <v>132</v>
      </c>
      <c r="K106" s="67" t="s">
        <v>132</v>
      </c>
      <c r="L106" s="67" t="s">
        <v>132</v>
      </c>
      <c r="M106" s="67" t="s">
        <v>132</v>
      </c>
      <c r="N106" s="67" t="s">
        <v>132</v>
      </c>
      <c r="O106" s="67" t="s">
        <v>132</v>
      </c>
      <c r="P106" s="56" t="s">
        <v>132</v>
      </c>
      <c r="Q106" s="58" t="s">
        <v>132</v>
      </c>
    </row>
    <row r="107" spans="1:17" x14ac:dyDescent="0.2">
      <c r="A107" s="22" t="s">
        <v>6</v>
      </c>
      <c r="B107" s="54">
        <v>1.09041970750875E-4</v>
      </c>
      <c r="C107" s="66">
        <v>1.57146657082309E-5</v>
      </c>
      <c r="D107" s="66" t="s">
        <v>132</v>
      </c>
      <c r="E107" s="66">
        <v>4.0302801258784001E-5</v>
      </c>
      <c r="F107" s="66" t="s">
        <v>132</v>
      </c>
      <c r="G107" s="66">
        <v>1.3377632523376299E-4</v>
      </c>
      <c r="H107" s="66" t="s">
        <v>132</v>
      </c>
      <c r="I107" s="66" t="s">
        <v>132</v>
      </c>
      <c r="J107" s="66" t="s">
        <v>132</v>
      </c>
      <c r="K107" s="66">
        <v>3.8127387240342199E-6</v>
      </c>
      <c r="L107" s="66">
        <v>2.8247177439689199E-5</v>
      </c>
      <c r="M107" s="66">
        <v>1.5326028636608501E-4</v>
      </c>
      <c r="N107" s="66" t="s">
        <v>132</v>
      </c>
      <c r="O107" s="66" t="s">
        <v>132</v>
      </c>
      <c r="P107" s="55" t="s">
        <v>132</v>
      </c>
      <c r="Q107" s="59">
        <v>4.8415596548146138E-4</v>
      </c>
    </row>
    <row r="108" spans="1:17" ht="13.5" thickBot="1" x14ac:dyDescent="0.25">
      <c r="A108" s="23" t="s">
        <v>37</v>
      </c>
      <c r="B108" s="53" t="s">
        <v>132</v>
      </c>
      <c r="C108" s="67" t="s">
        <v>132</v>
      </c>
      <c r="D108" s="67" t="s">
        <v>132</v>
      </c>
      <c r="E108" s="67">
        <v>2.2087782878745501E-5</v>
      </c>
      <c r="F108" s="67" t="s">
        <v>132</v>
      </c>
      <c r="G108" s="67" t="s">
        <v>132</v>
      </c>
      <c r="H108" s="67" t="s">
        <v>132</v>
      </c>
      <c r="I108" s="67" t="s">
        <v>132</v>
      </c>
      <c r="J108" s="67">
        <v>7.8267925225291999E-5</v>
      </c>
      <c r="K108" s="67">
        <v>2.63230114340392E-5</v>
      </c>
      <c r="L108" s="67">
        <v>7.3697867574577401E-4</v>
      </c>
      <c r="M108" s="67">
        <v>2.96889490573715E-5</v>
      </c>
      <c r="N108" s="67" t="s">
        <v>132</v>
      </c>
      <c r="O108" s="67" t="s">
        <v>132</v>
      </c>
      <c r="P108" s="56">
        <v>2.0170369041561699E-5</v>
      </c>
      <c r="Q108" s="58">
        <v>9.1351671338278379E-4</v>
      </c>
    </row>
    <row r="109" spans="1:17" ht="14.25" thickTop="1" thickBot="1" x14ac:dyDescent="0.25">
      <c r="A109" s="28" t="s">
        <v>0</v>
      </c>
      <c r="B109" s="61">
        <v>5.6429875824114573E-4</v>
      </c>
      <c r="C109" s="62">
        <v>9.9175138985448894E-5</v>
      </c>
      <c r="D109" s="62">
        <v>3.8235594956886654E-4</v>
      </c>
      <c r="E109" s="62">
        <v>2.4557518022730539E-3</v>
      </c>
      <c r="F109" s="62">
        <v>9.6746964726810697E-5</v>
      </c>
      <c r="G109" s="62">
        <v>1.708076430502678E-4</v>
      </c>
      <c r="H109" s="62">
        <v>4.2603760238918995E-4</v>
      </c>
      <c r="I109" s="62">
        <v>3.7485248537885886E-4</v>
      </c>
      <c r="J109" s="62">
        <v>1.7064599859329648E-3</v>
      </c>
      <c r="K109" s="62">
        <v>8.0928201382111844E-4</v>
      </c>
      <c r="L109" s="62">
        <v>1.5860075207238264E-3</v>
      </c>
      <c r="M109" s="62">
        <v>6.7173517897895754E-4</v>
      </c>
      <c r="N109" s="62" t="s">
        <v>132</v>
      </c>
      <c r="O109" s="62">
        <v>9.2124199956183407E-5</v>
      </c>
      <c r="P109" s="63">
        <v>3.174913123687427E-5</v>
      </c>
      <c r="Q109" s="29">
        <v>9.4673843752635673E-3</v>
      </c>
    </row>
  </sheetData>
  <mergeCells count="3">
    <mergeCell ref="A28:Q28"/>
    <mergeCell ref="A56:Q56"/>
    <mergeCell ref="A84:Q84"/>
  </mergeCells>
  <conditionalFormatting sqref="B5:Q25">
    <cfRule type="cellIs" dxfId="23" priority="1" operator="greaterThan">
      <formula>0</formula>
    </cfRule>
  </conditionalFormatting>
  <conditionalFormatting sqref="Q25">
    <cfRule type="cellIs" dxfId="22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82" orientation="landscape" r:id="rId1"/>
  <headerFooter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GridLines="0" topLeftCell="A67" zoomScaleNormal="100" workbookViewId="0">
      <selection activeCell="A78" sqref="A78"/>
    </sheetView>
  </sheetViews>
  <sheetFormatPr defaultRowHeight="12.75" x14ac:dyDescent="0.2"/>
  <cols>
    <col min="1" max="1" width="38.28515625" style="21" bestFit="1" customWidth="1"/>
    <col min="2" max="2" width="23.140625" style="21" bestFit="1" customWidth="1"/>
    <col min="3" max="15" width="10.28515625" style="21" customWidth="1"/>
    <col min="16" max="16" width="11.42578125" style="21" customWidth="1"/>
    <col min="17" max="20" width="10.28515625" style="21" customWidth="1"/>
    <col min="21" max="16384" width="9.140625" style="14"/>
  </cols>
  <sheetData>
    <row r="1" spans="1:20" ht="15" customHeight="1" x14ac:dyDescent="0.25">
      <c r="A1" s="100" t="s">
        <v>82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7.5" customHeight="1" x14ac:dyDescent="0.2"/>
    <row r="3" spans="1:20" ht="12.75" customHeight="1" thickBot="1" x14ac:dyDescent="0.25">
      <c r="A3" s="31" t="s">
        <v>133</v>
      </c>
    </row>
    <row r="4" spans="1:20" ht="38.25" customHeight="1" thickBot="1" x14ac:dyDescent="0.25">
      <c r="A4" s="38" t="s">
        <v>65</v>
      </c>
      <c r="B4" s="37" t="s">
        <v>73</v>
      </c>
      <c r="C4" s="45" t="s">
        <v>74</v>
      </c>
      <c r="D4" s="46" t="s">
        <v>75</v>
      </c>
      <c r="E4" s="32" t="s">
        <v>50</v>
      </c>
      <c r="F4" s="32" t="s">
        <v>51</v>
      </c>
      <c r="G4" s="32" t="s">
        <v>52</v>
      </c>
      <c r="H4" s="32" t="s">
        <v>53</v>
      </c>
      <c r="I4" s="32" t="s">
        <v>63</v>
      </c>
      <c r="J4" s="32" t="s">
        <v>54</v>
      </c>
      <c r="K4" s="32" t="s">
        <v>55</v>
      </c>
      <c r="L4" s="32" t="s">
        <v>56</v>
      </c>
      <c r="M4" s="32" t="s">
        <v>57</v>
      </c>
      <c r="N4" s="32" t="s">
        <v>58</v>
      </c>
      <c r="O4" s="32" t="s">
        <v>59</v>
      </c>
      <c r="P4" s="32" t="s">
        <v>60</v>
      </c>
      <c r="Q4" s="32" t="s">
        <v>61</v>
      </c>
      <c r="R4" s="32" t="s">
        <v>81</v>
      </c>
      <c r="S4" s="44" t="s">
        <v>62</v>
      </c>
      <c r="T4" s="33" t="s">
        <v>0</v>
      </c>
    </row>
    <row r="5" spans="1:20" ht="12.75" customHeight="1" x14ac:dyDescent="0.2">
      <c r="A5" s="36" t="s">
        <v>67</v>
      </c>
      <c r="B5" s="39" t="s">
        <v>68</v>
      </c>
      <c r="C5" s="93">
        <v>1.3027914691760316E-2</v>
      </c>
      <c r="D5" s="94">
        <v>1.3193857236875562E-3</v>
      </c>
      <c r="E5" s="66">
        <v>5.1036328949463465E-3</v>
      </c>
      <c r="F5" s="66">
        <v>4.3279389209367313E-3</v>
      </c>
      <c r="G5" s="66">
        <v>4.5889603577818064E-5</v>
      </c>
      <c r="H5" s="66">
        <v>3.0052343298604001E-5</v>
      </c>
      <c r="I5" s="66">
        <v>5.3557415510329309E-4</v>
      </c>
      <c r="J5" s="66" t="s">
        <v>132</v>
      </c>
      <c r="K5" s="66">
        <v>1.0419770339578159E-5</v>
      </c>
      <c r="L5" s="66" t="s">
        <v>132</v>
      </c>
      <c r="M5" s="66">
        <v>1.7819082224601571E-4</v>
      </c>
      <c r="N5" s="66">
        <v>1.025118466817472E-4</v>
      </c>
      <c r="O5" s="66" t="s">
        <v>132</v>
      </c>
      <c r="P5" s="66" t="s">
        <v>132</v>
      </c>
      <c r="Q5" s="66" t="s">
        <v>132</v>
      </c>
      <c r="R5" s="66">
        <v>1.9151341095942683E-5</v>
      </c>
      <c r="S5" s="84">
        <v>3.6141877582716197E-4</v>
      </c>
      <c r="T5" s="88">
        <v>2.5062080889501105E-2</v>
      </c>
    </row>
    <row r="6" spans="1:20" ht="12.75" customHeight="1" x14ac:dyDescent="0.2">
      <c r="A6" s="35" t="s">
        <v>19</v>
      </c>
      <c r="B6" s="40" t="s">
        <v>68</v>
      </c>
      <c r="C6" s="103">
        <v>1.5129059041983099E-3</v>
      </c>
      <c r="D6" s="104" t="s">
        <v>132</v>
      </c>
      <c r="E6" s="67" t="s">
        <v>132</v>
      </c>
      <c r="F6" s="67" t="s">
        <v>132</v>
      </c>
      <c r="G6" s="67" t="s">
        <v>132</v>
      </c>
      <c r="H6" s="67" t="s">
        <v>132</v>
      </c>
      <c r="I6" s="67" t="s">
        <v>132</v>
      </c>
      <c r="J6" s="67" t="s">
        <v>132</v>
      </c>
      <c r="K6" s="67" t="s">
        <v>132</v>
      </c>
      <c r="L6" s="67" t="s">
        <v>132</v>
      </c>
      <c r="M6" s="67" t="s">
        <v>132</v>
      </c>
      <c r="N6" s="67" t="s">
        <v>132</v>
      </c>
      <c r="O6" s="67" t="s">
        <v>132</v>
      </c>
      <c r="P6" s="67" t="s">
        <v>132</v>
      </c>
      <c r="Q6" s="67" t="s">
        <v>132</v>
      </c>
      <c r="R6" s="67" t="s">
        <v>132</v>
      </c>
      <c r="S6" s="85" t="s">
        <v>132</v>
      </c>
      <c r="T6" s="89">
        <v>1.5129059041983099E-3</v>
      </c>
    </row>
    <row r="7" spans="1:20" ht="12.75" customHeight="1" x14ac:dyDescent="0.2">
      <c r="A7" s="36" t="s">
        <v>21</v>
      </c>
      <c r="B7" s="39" t="s">
        <v>68</v>
      </c>
      <c r="C7" s="105">
        <v>4.2294315621930399E-4</v>
      </c>
      <c r="D7" s="106" t="s">
        <v>132</v>
      </c>
      <c r="E7" s="66">
        <v>5.66506790841802E-5</v>
      </c>
      <c r="F7" s="66">
        <v>2.4716917987695599E-4</v>
      </c>
      <c r="G7" s="66">
        <v>5.6279156944690397E-6</v>
      </c>
      <c r="H7" s="66">
        <v>2.07976759967941E-4</v>
      </c>
      <c r="I7" s="66">
        <v>3.0126719394537498E-3</v>
      </c>
      <c r="J7" s="66" t="s">
        <v>132</v>
      </c>
      <c r="K7" s="66" t="s">
        <v>132</v>
      </c>
      <c r="L7" s="66" t="s">
        <v>132</v>
      </c>
      <c r="M7" s="66">
        <v>5.3045774319076398E-5</v>
      </c>
      <c r="N7" s="66">
        <v>2.5333460260170201E-6</v>
      </c>
      <c r="O7" s="66" t="s">
        <v>132</v>
      </c>
      <c r="P7" s="66" t="s">
        <v>132</v>
      </c>
      <c r="Q7" s="66" t="s">
        <v>132</v>
      </c>
      <c r="R7" s="66" t="s">
        <v>132</v>
      </c>
      <c r="S7" s="84">
        <v>2.7384757142665298E-3</v>
      </c>
      <c r="T7" s="88">
        <v>6.7470944649082234E-3</v>
      </c>
    </row>
    <row r="8" spans="1:20" ht="12.75" customHeight="1" x14ac:dyDescent="0.2">
      <c r="A8" s="35" t="s">
        <v>22</v>
      </c>
      <c r="B8" s="40" t="s">
        <v>68</v>
      </c>
      <c r="C8" s="103" t="s">
        <v>132</v>
      </c>
      <c r="D8" s="104" t="s">
        <v>132</v>
      </c>
      <c r="E8" s="67" t="s">
        <v>132</v>
      </c>
      <c r="F8" s="67" t="s">
        <v>132</v>
      </c>
      <c r="G8" s="67" t="s">
        <v>132</v>
      </c>
      <c r="H8" s="67" t="s">
        <v>132</v>
      </c>
      <c r="I8" s="67" t="s">
        <v>132</v>
      </c>
      <c r="J8" s="67" t="s">
        <v>132</v>
      </c>
      <c r="K8" s="67">
        <v>1.6833064479327799E-3</v>
      </c>
      <c r="L8" s="67" t="s">
        <v>132</v>
      </c>
      <c r="M8" s="67" t="s">
        <v>132</v>
      </c>
      <c r="N8" s="67" t="s">
        <v>132</v>
      </c>
      <c r="O8" s="67" t="s">
        <v>132</v>
      </c>
      <c r="P8" s="67" t="s">
        <v>132</v>
      </c>
      <c r="Q8" s="67" t="s">
        <v>132</v>
      </c>
      <c r="R8" s="67" t="s">
        <v>132</v>
      </c>
      <c r="S8" s="85" t="s">
        <v>132</v>
      </c>
      <c r="T8" s="89">
        <v>1.6833064479327799E-3</v>
      </c>
    </row>
    <row r="9" spans="1:20" ht="12.75" customHeight="1" x14ac:dyDescent="0.2">
      <c r="A9" s="36" t="s">
        <v>69</v>
      </c>
      <c r="B9" s="39" t="s">
        <v>68</v>
      </c>
      <c r="C9" s="105">
        <v>4.5503121564295499E-4</v>
      </c>
      <c r="D9" s="106" t="s">
        <v>132</v>
      </c>
      <c r="E9" s="66">
        <v>1.4199057054039499E-5</v>
      </c>
      <c r="F9" s="66">
        <v>1.8367718861353599E-4</v>
      </c>
      <c r="G9" s="66">
        <v>4.7785174644695702E-5</v>
      </c>
      <c r="H9" s="66">
        <v>6.6393091927570996E-5</v>
      </c>
      <c r="I9" s="66">
        <v>1.20700353861781E-3</v>
      </c>
      <c r="J9" s="66">
        <v>2.3985976879911E-5</v>
      </c>
      <c r="K9" s="66" t="s">
        <v>132</v>
      </c>
      <c r="L9" s="66" t="s">
        <v>132</v>
      </c>
      <c r="M9" s="66">
        <v>1.12530820588115E-4</v>
      </c>
      <c r="N9" s="66">
        <v>7.1925837112936802E-6</v>
      </c>
      <c r="O9" s="66" t="s">
        <v>132</v>
      </c>
      <c r="P9" s="66" t="s">
        <v>132</v>
      </c>
      <c r="Q9" s="66" t="s">
        <v>132</v>
      </c>
      <c r="R9" s="66">
        <v>1.46931859440297E-5</v>
      </c>
      <c r="S9" s="84">
        <v>3.5567142331714599E-3</v>
      </c>
      <c r="T9" s="88">
        <v>5.6892060667954169E-3</v>
      </c>
    </row>
    <row r="10" spans="1:20" ht="12.75" customHeight="1" x14ac:dyDescent="0.2">
      <c r="A10" s="35" t="s">
        <v>77</v>
      </c>
      <c r="B10" s="40" t="s">
        <v>70</v>
      </c>
      <c r="C10" s="103">
        <v>4.0167610270006097E-4</v>
      </c>
      <c r="D10" s="104" t="s">
        <v>132</v>
      </c>
      <c r="E10" s="67" t="s">
        <v>132</v>
      </c>
      <c r="F10" s="67" t="s">
        <v>132</v>
      </c>
      <c r="G10" s="67" t="s">
        <v>132</v>
      </c>
      <c r="H10" s="67" t="s">
        <v>132</v>
      </c>
      <c r="I10" s="67">
        <v>7.7704567658168702E-4</v>
      </c>
      <c r="J10" s="67" t="s">
        <v>132</v>
      </c>
      <c r="K10" s="67">
        <v>1.56108787808738E-3</v>
      </c>
      <c r="L10" s="67">
        <v>3.3458400115473999E-3</v>
      </c>
      <c r="M10" s="67">
        <v>6.6127070195521202E-5</v>
      </c>
      <c r="N10" s="67" t="s">
        <v>132</v>
      </c>
      <c r="O10" s="67" t="s">
        <v>132</v>
      </c>
      <c r="P10" s="67" t="s">
        <v>132</v>
      </c>
      <c r="Q10" s="67" t="s">
        <v>132</v>
      </c>
      <c r="R10" s="67">
        <v>1.14007907620442E-6</v>
      </c>
      <c r="S10" s="85">
        <v>1.9238396649995E-3</v>
      </c>
      <c r="T10" s="89">
        <v>8.0767564831877546E-3</v>
      </c>
    </row>
    <row r="11" spans="1:20" ht="12.75" customHeight="1" x14ac:dyDescent="0.2">
      <c r="A11" s="36" t="s">
        <v>28</v>
      </c>
      <c r="B11" s="39" t="s">
        <v>70</v>
      </c>
      <c r="C11" s="105" t="s">
        <v>132</v>
      </c>
      <c r="D11" s="106" t="s">
        <v>132</v>
      </c>
      <c r="E11" s="66">
        <v>6.8846529564032897E-6</v>
      </c>
      <c r="F11" s="66">
        <v>9.3417909844544897E-5</v>
      </c>
      <c r="G11" s="66" t="s">
        <v>132</v>
      </c>
      <c r="H11" s="66" t="s">
        <v>132</v>
      </c>
      <c r="I11" s="66">
        <v>1.5138792104144E-5</v>
      </c>
      <c r="J11" s="66" t="s">
        <v>132</v>
      </c>
      <c r="K11" s="66">
        <v>6.3487899894350896E-6</v>
      </c>
      <c r="L11" s="66" t="s">
        <v>132</v>
      </c>
      <c r="M11" s="66" t="s">
        <v>132</v>
      </c>
      <c r="N11" s="66" t="s">
        <v>132</v>
      </c>
      <c r="O11" s="66" t="s">
        <v>132</v>
      </c>
      <c r="P11" s="66" t="s">
        <v>132</v>
      </c>
      <c r="Q11" s="66" t="s">
        <v>132</v>
      </c>
      <c r="R11" s="66" t="s">
        <v>132</v>
      </c>
      <c r="S11" s="84">
        <v>2.2555896544976298E-3</v>
      </c>
      <c r="T11" s="88">
        <v>2.3773797993921573E-3</v>
      </c>
    </row>
    <row r="12" spans="1:20" ht="12.75" customHeight="1" x14ac:dyDescent="0.2">
      <c r="A12" s="35" t="s">
        <v>29</v>
      </c>
      <c r="B12" s="40" t="s">
        <v>70</v>
      </c>
      <c r="C12" s="103" t="s">
        <v>132</v>
      </c>
      <c r="D12" s="104" t="s">
        <v>132</v>
      </c>
      <c r="E12" s="67" t="s">
        <v>132</v>
      </c>
      <c r="F12" s="67" t="s">
        <v>132</v>
      </c>
      <c r="G12" s="67" t="s">
        <v>132</v>
      </c>
      <c r="H12" s="67" t="s">
        <v>132</v>
      </c>
      <c r="I12" s="67">
        <v>1.2759985119325701E-5</v>
      </c>
      <c r="J12" s="67" t="s">
        <v>132</v>
      </c>
      <c r="K12" s="67" t="s">
        <v>132</v>
      </c>
      <c r="L12" s="67" t="s">
        <v>132</v>
      </c>
      <c r="M12" s="67" t="s">
        <v>132</v>
      </c>
      <c r="N12" s="67" t="s">
        <v>132</v>
      </c>
      <c r="O12" s="67" t="s">
        <v>132</v>
      </c>
      <c r="P12" s="67" t="s">
        <v>132</v>
      </c>
      <c r="Q12" s="67" t="s">
        <v>132</v>
      </c>
      <c r="R12" s="67" t="s">
        <v>132</v>
      </c>
      <c r="S12" s="85">
        <v>3.50942868590854E-4</v>
      </c>
      <c r="T12" s="89">
        <v>3.6370285371017968E-4</v>
      </c>
    </row>
    <row r="13" spans="1:20" ht="12.75" customHeight="1" x14ac:dyDescent="0.2">
      <c r="A13" s="36" t="s">
        <v>30</v>
      </c>
      <c r="B13" s="39" t="s">
        <v>70</v>
      </c>
      <c r="C13" s="105" t="s">
        <v>132</v>
      </c>
      <c r="D13" s="106" t="s">
        <v>132</v>
      </c>
      <c r="E13" s="66">
        <v>3.6278799939629102E-6</v>
      </c>
      <c r="F13" s="66">
        <v>1.7110427298640699E-4</v>
      </c>
      <c r="G13" s="66">
        <v>5.0010454011233203E-6</v>
      </c>
      <c r="H13" s="66">
        <v>9.4248732803931003E-5</v>
      </c>
      <c r="I13" s="66">
        <v>3.9042064139844102E-4</v>
      </c>
      <c r="J13" s="66" t="s">
        <v>132</v>
      </c>
      <c r="K13" s="66">
        <v>1.16939597533037E-5</v>
      </c>
      <c r="L13" s="66" t="s">
        <v>132</v>
      </c>
      <c r="M13" s="66">
        <v>3.9338676094665503E-6</v>
      </c>
      <c r="N13" s="66" t="s">
        <v>132</v>
      </c>
      <c r="O13" s="66">
        <v>3.7830146864433397E-5</v>
      </c>
      <c r="P13" s="66" t="s">
        <v>132</v>
      </c>
      <c r="Q13" s="66" t="s">
        <v>132</v>
      </c>
      <c r="R13" s="66" t="s">
        <v>132</v>
      </c>
      <c r="S13" s="84">
        <v>5.8663351986760004E-3</v>
      </c>
      <c r="T13" s="88">
        <v>6.5841957454870689E-3</v>
      </c>
    </row>
    <row r="14" spans="1:20" ht="12.75" customHeight="1" x14ac:dyDescent="0.2">
      <c r="A14" s="35" t="s">
        <v>31</v>
      </c>
      <c r="B14" s="40" t="s">
        <v>70</v>
      </c>
      <c r="C14" s="103">
        <v>2.0441045341307999E-6</v>
      </c>
      <c r="D14" s="104" t="s">
        <v>132</v>
      </c>
      <c r="E14" s="67">
        <v>2.77180007152209E-5</v>
      </c>
      <c r="F14" s="67">
        <v>7.1758106679887504E-4</v>
      </c>
      <c r="G14" s="67" t="s">
        <v>132</v>
      </c>
      <c r="H14" s="67">
        <v>2.1633521799229999E-5</v>
      </c>
      <c r="I14" s="67">
        <v>9.3462218560013601E-5</v>
      </c>
      <c r="J14" s="67" t="s">
        <v>132</v>
      </c>
      <c r="K14" s="67">
        <v>3.0458756844161401E-5</v>
      </c>
      <c r="L14" s="67" t="s">
        <v>132</v>
      </c>
      <c r="M14" s="67">
        <v>9.0696999849072702E-7</v>
      </c>
      <c r="N14" s="67" t="s">
        <v>132</v>
      </c>
      <c r="O14" s="67" t="s">
        <v>132</v>
      </c>
      <c r="P14" s="67" t="s">
        <v>132</v>
      </c>
      <c r="Q14" s="67" t="s">
        <v>132</v>
      </c>
      <c r="R14" s="67" t="s">
        <v>132</v>
      </c>
      <c r="S14" s="85">
        <v>9.0489635117699599E-4</v>
      </c>
      <c r="T14" s="89">
        <v>1.7987009904271184E-3</v>
      </c>
    </row>
    <row r="15" spans="1:20" ht="12.75" customHeight="1" x14ac:dyDescent="0.2">
      <c r="A15" s="36" t="s">
        <v>20</v>
      </c>
      <c r="B15" s="39" t="s">
        <v>70</v>
      </c>
      <c r="C15" s="105" t="s">
        <v>132</v>
      </c>
      <c r="D15" s="106" t="s">
        <v>132</v>
      </c>
      <c r="E15" s="66" t="s">
        <v>132</v>
      </c>
      <c r="F15" s="66" t="s">
        <v>132</v>
      </c>
      <c r="G15" s="66">
        <v>4.0234771550882499E-4</v>
      </c>
      <c r="H15" s="66" t="s">
        <v>132</v>
      </c>
      <c r="I15" s="66" t="s">
        <v>132</v>
      </c>
      <c r="J15" s="66" t="s">
        <v>132</v>
      </c>
      <c r="K15" s="66" t="s">
        <v>132</v>
      </c>
      <c r="L15" s="66" t="s">
        <v>132</v>
      </c>
      <c r="M15" s="66" t="s">
        <v>132</v>
      </c>
      <c r="N15" s="66" t="s">
        <v>132</v>
      </c>
      <c r="O15" s="66" t="s">
        <v>132</v>
      </c>
      <c r="P15" s="66" t="s">
        <v>132</v>
      </c>
      <c r="Q15" s="66" t="s">
        <v>132</v>
      </c>
      <c r="R15" s="66" t="s">
        <v>132</v>
      </c>
      <c r="S15" s="84" t="s">
        <v>132</v>
      </c>
      <c r="T15" s="88">
        <v>4.0234771550882499E-4</v>
      </c>
    </row>
    <row r="16" spans="1:20" ht="12.75" customHeight="1" x14ac:dyDescent="0.2">
      <c r="A16" s="35" t="s">
        <v>32</v>
      </c>
      <c r="B16" s="40" t="s">
        <v>70</v>
      </c>
      <c r="C16" s="103">
        <v>2.4577098933776599E-5</v>
      </c>
      <c r="D16" s="104" t="s">
        <v>132</v>
      </c>
      <c r="E16" s="67">
        <v>1.2334284955484399E-6</v>
      </c>
      <c r="F16" s="67">
        <v>2.1941634313302999E-4</v>
      </c>
      <c r="G16" s="67" t="s">
        <v>132</v>
      </c>
      <c r="H16" s="67">
        <v>2.5593865542787202E-6</v>
      </c>
      <c r="I16" s="67">
        <v>1.20600777828672E-4</v>
      </c>
      <c r="J16" s="67">
        <v>3.7054473402031201E-6</v>
      </c>
      <c r="K16" s="67">
        <v>2.0563343932903698E-5</v>
      </c>
      <c r="L16" s="67" t="s">
        <v>132</v>
      </c>
      <c r="M16" s="67">
        <v>4.75440437335622E-6</v>
      </c>
      <c r="N16" s="67" t="s">
        <v>132</v>
      </c>
      <c r="O16" s="67">
        <v>3.7214340304882701E-7</v>
      </c>
      <c r="P16" s="67" t="s">
        <v>132</v>
      </c>
      <c r="Q16" s="67" t="s">
        <v>132</v>
      </c>
      <c r="R16" s="67" t="s">
        <v>132</v>
      </c>
      <c r="S16" s="85">
        <v>7.0289537408655097E-3</v>
      </c>
      <c r="T16" s="89">
        <v>7.4267361148603276E-3</v>
      </c>
    </row>
    <row r="17" spans="1:20" ht="12.75" customHeight="1" x14ac:dyDescent="0.2">
      <c r="A17" s="36" t="s">
        <v>23</v>
      </c>
      <c r="B17" s="39" t="s">
        <v>71</v>
      </c>
      <c r="C17" s="105" t="s">
        <v>132</v>
      </c>
      <c r="D17" s="106" t="s">
        <v>132</v>
      </c>
      <c r="E17" s="66" t="s">
        <v>132</v>
      </c>
      <c r="F17" s="66" t="s">
        <v>132</v>
      </c>
      <c r="G17" s="66" t="s">
        <v>132</v>
      </c>
      <c r="H17" s="66" t="s">
        <v>132</v>
      </c>
      <c r="I17" s="66" t="s">
        <v>132</v>
      </c>
      <c r="J17" s="66" t="s">
        <v>132</v>
      </c>
      <c r="K17" s="66" t="s">
        <v>132</v>
      </c>
      <c r="L17" s="66">
        <v>4.5978900280187604E-3</v>
      </c>
      <c r="M17" s="66" t="s">
        <v>132</v>
      </c>
      <c r="N17" s="66" t="s">
        <v>132</v>
      </c>
      <c r="O17" s="66" t="s">
        <v>132</v>
      </c>
      <c r="P17" s="66" t="s">
        <v>132</v>
      </c>
      <c r="Q17" s="66" t="s">
        <v>132</v>
      </c>
      <c r="R17" s="66" t="s">
        <v>132</v>
      </c>
      <c r="S17" s="84" t="s">
        <v>132</v>
      </c>
      <c r="T17" s="88">
        <v>4.5978900280187604E-3</v>
      </c>
    </row>
    <row r="18" spans="1:20" ht="12.75" customHeight="1" x14ac:dyDescent="0.2">
      <c r="A18" s="35" t="s">
        <v>24</v>
      </c>
      <c r="B18" s="40" t="s">
        <v>72</v>
      </c>
      <c r="C18" s="103" t="s">
        <v>132</v>
      </c>
      <c r="D18" s="104" t="s">
        <v>132</v>
      </c>
      <c r="E18" s="67" t="s">
        <v>132</v>
      </c>
      <c r="F18" s="67" t="s">
        <v>132</v>
      </c>
      <c r="G18" s="67" t="s">
        <v>132</v>
      </c>
      <c r="H18" s="67" t="s">
        <v>132</v>
      </c>
      <c r="I18" s="67" t="s">
        <v>132</v>
      </c>
      <c r="J18" s="67" t="s">
        <v>132</v>
      </c>
      <c r="K18" s="67" t="s">
        <v>132</v>
      </c>
      <c r="L18" s="67" t="s">
        <v>132</v>
      </c>
      <c r="M18" s="67" t="s">
        <v>132</v>
      </c>
      <c r="N18" s="67" t="s">
        <v>132</v>
      </c>
      <c r="O18" s="67" t="s">
        <v>132</v>
      </c>
      <c r="P18" s="67">
        <v>2.3307326460082899E-2</v>
      </c>
      <c r="Q18" s="67" t="s">
        <v>132</v>
      </c>
      <c r="R18" s="67" t="s">
        <v>132</v>
      </c>
      <c r="S18" s="85" t="s">
        <v>132</v>
      </c>
      <c r="T18" s="89">
        <v>2.3307326460082899E-2</v>
      </c>
    </row>
    <row r="19" spans="1:20" ht="12.75" customHeight="1" x14ac:dyDescent="0.2">
      <c r="A19" s="36" t="s">
        <v>25</v>
      </c>
      <c r="B19" s="39" t="s">
        <v>72</v>
      </c>
      <c r="C19" s="105" t="s">
        <v>132</v>
      </c>
      <c r="D19" s="106" t="s">
        <v>132</v>
      </c>
      <c r="E19" s="66" t="s">
        <v>132</v>
      </c>
      <c r="F19" s="66" t="s">
        <v>132</v>
      </c>
      <c r="G19" s="66" t="s">
        <v>132</v>
      </c>
      <c r="H19" s="66" t="s">
        <v>132</v>
      </c>
      <c r="I19" s="66" t="s">
        <v>132</v>
      </c>
      <c r="J19" s="66" t="s">
        <v>132</v>
      </c>
      <c r="K19" s="66" t="s">
        <v>132</v>
      </c>
      <c r="L19" s="66" t="s">
        <v>132</v>
      </c>
      <c r="M19" s="66" t="s">
        <v>132</v>
      </c>
      <c r="N19" s="66" t="s">
        <v>132</v>
      </c>
      <c r="O19" s="66" t="s">
        <v>132</v>
      </c>
      <c r="P19" s="66">
        <v>2.5063057993396701E-2</v>
      </c>
      <c r="Q19" s="66" t="s">
        <v>132</v>
      </c>
      <c r="R19" s="66" t="s">
        <v>132</v>
      </c>
      <c r="S19" s="84" t="s">
        <v>132</v>
      </c>
      <c r="T19" s="88">
        <v>2.5063057993396701E-2</v>
      </c>
    </row>
    <row r="20" spans="1:20" ht="12.75" customHeight="1" x14ac:dyDescent="0.2">
      <c r="A20" s="35" t="s">
        <v>78</v>
      </c>
      <c r="B20" s="40" t="s">
        <v>72</v>
      </c>
      <c r="C20" s="103" t="s">
        <v>132</v>
      </c>
      <c r="D20" s="104" t="s">
        <v>132</v>
      </c>
      <c r="E20" s="67" t="s">
        <v>132</v>
      </c>
      <c r="F20" s="67" t="s">
        <v>132</v>
      </c>
      <c r="G20" s="67" t="s">
        <v>132</v>
      </c>
      <c r="H20" s="67" t="s">
        <v>132</v>
      </c>
      <c r="I20" s="67" t="s">
        <v>132</v>
      </c>
      <c r="J20" s="67" t="s">
        <v>132</v>
      </c>
      <c r="K20" s="67" t="s">
        <v>132</v>
      </c>
      <c r="L20" s="67" t="s">
        <v>132</v>
      </c>
      <c r="M20" s="67" t="s">
        <v>132</v>
      </c>
      <c r="N20" s="67" t="s">
        <v>132</v>
      </c>
      <c r="O20" s="67" t="s">
        <v>132</v>
      </c>
      <c r="P20" s="67" t="s">
        <v>132</v>
      </c>
      <c r="Q20" s="67">
        <v>3.3859563431838999E-4</v>
      </c>
      <c r="R20" s="67" t="s">
        <v>132</v>
      </c>
      <c r="S20" s="85" t="s">
        <v>132</v>
      </c>
      <c r="T20" s="89">
        <v>3.3859563431838999E-4</v>
      </c>
    </row>
    <row r="21" spans="1:20" ht="12.75" customHeight="1" x14ac:dyDescent="0.2">
      <c r="A21" s="36" t="s">
        <v>26</v>
      </c>
      <c r="B21" s="39" t="s">
        <v>72</v>
      </c>
      <c r="C21" s="105" t="s">
        <v>132</v>
      </c>
      <c r="D21" s="106" t="s">
        <v>132</v>
      </c>
      <c r="E21" s="66" t="s">
        <v>132</v>
      </c>
      <c r="F21" s="66" t="s">
        <v>132</v>
      </c>
      <c r="G21" s="66" t="s">
        <v>132</v>
      </c>
      <c r="H21" s="66" t="s">
        <v>132</v>
      </c>
      <c r="I21" s="66" t="s">
        <v>132</v>
      </c>
      <c r="J21" s="66" t="s">
        <v>132</v>
      </c>
      <c r="K21" s="66" t="s">
        <v>132</v>
      </c>
      <c r="L21" s="66" t="s">
        <v>132</v>
      </c>
      <c r="M21" s="66" t="s">
        <v>132</v>
      </c>
      <c r="N21" s="66" t="s">
        <v>132</v>
      </c>
      <c r="O21" s="66" t="s">
        <v>132</v>
      </c>
      <c r="P21" s="66">
        <v>7.9541211420574003E-3</v>
      </c>
      <c r="Q21" s="66" t="s">
        <v>132</v>
      </c>
      <c r="R21" s="66" t="s">
        <v>132</v>
      </c>
      <c r="S21" s="84" t="s">
        <v>132</v>
      </c>
      <c r="T21" s="88">
        <v>7.9541211420574003E-3</v>
      </c>
    </row>
    <row r="22" spans="1:20" ht="12.75" customHeight="1" thickBot="1" x14ac:dyDescent="0.25">
      <c r="A22" s="43" t="s">
        <v>27</v>
      </c>
      <c r="B22" s="42" t="s">
        <v>72</v>
      </c>
      <c r="C22" s="107" t="s">
        <v>132</v>
      </c>
      <c r="D22" s="108" t="s">
        <v>132</v>
      </c>
      <c r="E22" s="74" t="s">
        <v>132</v>
      </c>
      <c r="F22" s="74" t="s">
        <v>132</v>
      </c>
      <c r="G22" s="74" t="s">
        <v>132</v>
      </c>
      <c r="H22" s="74" t="s">
        <v>132</v>
      </c>
      <c r="I22" s="74" t="s">
        <v>132</v>
      </c>
      <c r="J22" s="74" t="s">
        <v>132</v>
      </c>
      <c r="K22" s="74" t="s">
        <v>132</v>
      </c>
      <c r="L22" s="74" t="s">
        <v>132</v>
      </c>
      <c r="M22" s="74" t="s">
        <v>132</v>
      </c>
      <c r="N22" s="74" t="s">
        <v>132</v>
      </c>
      <c r="O22" s="74" t="s">
        <v>132</v>
      </c>
      <c r="P22" s="74" t="s">
        <v>132</v>
      </c>
      <c r="Q22" s="74">
        <v>1.0872463241710401E-2</v>
      </c>
      <c r="R22" s="74" t="s">
        <v>132</v>
      </c>
      <c r="S22" s="86" t="s">
        <v>132</v>
      </c>
      <c r="T22" s="75">
        <v>1.0872463241710401E-2</v>
      </c>
    </row>
    <row r="23" spans="1:20" ht="12.75" customHeight="1" thickTop="1" thickBot="1" x14ac:dyDescent="0.25">
      <c r="A23" s="34" t="s">
        <v>0</v>
      </c>
      <c r="B23" s="41"/>
      <c r="C23" s="101">
        <v>1.7166477997676406E-2</v>
      </c>
      <c r="D23" s="102" t="s">
        <v>132</v>
      </c>
      <c r="E23" s="73">
        <v>5.2139465932457022E-3</v>
      </c>
      <c r="F23" s="73">
        <v>5.9603048821900793E-3</v>
      </c>
      <c r="G23" s="73">
        <v>5.0665145482693111E-4</v>
      </c>
      <c r="H23" s="73">
        <v>4.2286383635155571E-4</v>
      </c>
      <c r="I23" s="73">
        <v>6.1646777247671364E-3</v>
      </c>
      <c r="J23" s="73">
        <v>2.7691424220114121E-5</v>
      </c>
      <c r="K23" s="73">
        <v>3.323878946879542E-3</v>
      </c>
      <c r="L23" s="73">
        <v>7.9437300395661607E-3</v>
      </c>
      <c r="M23" s="73">
        <v>4.1948972933004183E-4</v>
      </c>
      <c r="N23" s="73">
        <v>1.1223777641905789E-4</v>
      </c>
      <c r="O23" s="73">
        <v>3.8202290267482221E-5</v>
      </c>
      <c r="P23" s="73">
        <v>5.6324505595537006E-2</v>
      </c>
      <c r="Q23" s="73">
        <v>1.1211058876028791E-2</v>
      </c>
      <c r="R23" s="73">
        <v>3.4984606116176803E-5</v>
      </c>
      <c r="S23" s="87">
        <v>2.4987166202071642E-2</v>
      </c>
      <c r="T23" s="90">
        <v>0.13985786797549379</v>
      </c>
    </row>
    <row r="26" spans="1:20" ht="15" x14ac:dyDescent="0.25">
      <c r="A26" s="100" t="s">
        <v>91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0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ht="13.5" thickBot="1" x14ac:dyDescent="0.25">
      <c r="A28" s="31" t="s">
        <v>133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39" thickBot="1" x14ac:dyDescent="0.25">
      <c r="A29" s="38" t="s">
        <v>65</v>
      </c>
      <c r="B29" s="37" t="s">
        <v>73</v>
      </c>
      <c r="C29" s="45" t="s">
        <v>74</v>
      </c>
      <c r="D29" s="46" t="s">
        <v>75</v>
      </c>
      <c r="E29" s="32" t="s">
        <v>50</v>
      </c>
      <c r="F29" s="32" t="s">
        <v>51</v>
      </c>
      <c r="G29" s="32" t="s">
        <v>52</v>
      </c>
      <c r="H29" s="32" t="s">
        <v>53</v>
      </c>
      <c r="I29" s="32" t="s">
        <v>63</v>
      </c>
      <c r="J29" s="32" t="s">
        <v>54</v>
      </c>
      <c r="K29" s="32" t="s">
        <v>55</v>
      </c>
      <c r="L29" s="32" t="s">
        <v>56</v>
      </c>
      <c r="M29" s="32" t="s">
        <v>57</v>
      </c>
      <c r="N29" s="32" t="s">
        <v>58</v>
      </c>
      <c r="O29" s="32" t="s">
        <v>59</v>
      </c>
      <c r="P29" s="32" t="s">
        <v>60</v>
      </c>
      <c r="Q29" s="32" t="s">
        <v>61</v>
      </c>
      <c r="R29" s="32" t="s">
        <v>81</v>
      </c>
      <c r="S29" s="44" t="s">
        <v>62</v>
      </c>
      <c r="T29" s="33" t="s">
        <v>0</v>
      </c>
    </row>
    <row r="30" spans="1:20" x14ac:dyDescent="0.2">
      <c r="A30" s="36" t="s">
        <v>67</v>
      </c>
      <c r="B30" s="39" t="s">
        <v>68</v>
      </c>
      <c r="C30" s="93">
        <v>8.2473542135839302E-3</v>
      </c>
      <c r="D30" s="94">
        <v>8.8754991743395504E-4</v>
      </c>
      <c r="E30" s="66">
        <v>2.3510570009237963E-3</v>
      </c>
      <c r="F30" s="66">
        <v>2.1337894282709526E-3</v>
      </c>
      <c r="G30" s="66">
        <v>1.9570739233648769E-5</v>
      </c>
      <c r="H30" s="66">
        <v>1.750922651108117E-5</v>
      </c>
      <c r="I30" s="66">
        <v>3.3733900200827563E-4</v>
      </c>
      <c r="J30" s="66" t="s">
        <v>132</v>
      </c>
      <c r="K30" s="66">
        <v>8.7433479878379802E-6</v>
      </c>
      <c r="L30" s="66" t="s">
        <v>132</v>
      </c>
      <c r="M30" s="66">
        <v>1.1109770637289958E-4</v>
      </c>
      <c r="N30" s="66">
        <v>2.380674905601925E-5</v>
      </c>
      <c r="O30" s="66" t="s">
        <v>132</v>
      </c>
      <c r="P30" s="66" t="s">
        <v>132</v>
      </c>
      <c r="Q30" s="66" t="s">
        <v>132</v>
      </c>
      <c r="R30" s="66">
        <v>2.2525138220110201E-5</v>
      </c>
      <c r="S30" s="84">
        <v>2.9792851713670839E-4</v>
      </c>
      <c r="T30" s="88">
        <v>1.4458270986739215E-2</v>
      </c>
    </row>
    <row r="31" spans="1:20" x14ac:dyDescent="0.2">
      <c r="A31" s="35" t="s">
        <v>19</v>
      </c>
      <c r="B31" s="40" t="s">
        <v>68</v>
      </c>
      <c r="C31" s="103">
        <v>9.7731159564300001E-4</v>
      </c>
      <c r="D31" s="104" t="s">
        <v>132</v>
      </c>
      <c r="E31" s="67" t="s">
        <v>132</v>
      </c>
      <c r="F31" s="67" t="s">
        <v>132</v>
      </c>
      <c r="G31" s="67" t="s">
        <v>132</v>
      </c>
      <c r="H31" s="67" t="s">
        <v>132</v>
      </c>
      <c r="I31" s="67" t="s">
        <v>132</v>
      </c>
      <c r="J31" s="67" t="s">
        <v>132</v>
      </c>
      <c r="K31" s="67" t="s">
        <v>132</v>
      </c>
      <c r="L31" s="67" t="s">
        <v>132</v>
      </c>
      <c r="M31" s="67" t="s">
        <v>132</v>
      </c>
      <c r="N31" s="67" t="s">
        <v>132</v>
      </c>
      <c r="O31" s="67" t="s">
        <v>132</v>
      </c>
      <c r="P31" s="67" t="s">
        <v>132</v>
      </c>
      <c r="Q31" s="67" t="s">
        <v>132</v>
      </c>
      <c r="R31" s="67" t="s">
        <v>132</v>
      </c>
      <c r="S31" s="85" t="s">
        <v>132</v>
      </c>
      <c r="T31" s="89">
        <v>9.7731159564300001E-4</v>
      </c>
    </row>
    <row r="32" spans="1:20" x14ac:dyDescent="0.2">
      <c r="A32" s="36" t="s">
        <v>21</v>
      </c>
      <c r="B32" s="39" t="s">
        <v>68</v>
      </c>
      <c r="C32" s="105">
        <v>5.0266125785291996E-4</v>
      </c>
      <c r="D32" s="106" t="s">
        <v>132</v>
      </c>
      <c r="E32" s="66">
        <v>5.5994256342055302E-5</v>
      </c>
      <c r="F32" s="66">
        <v>2.3132160472196699E-4</v>
      </c>
      <c r="G32" s="66">
        <v>6.5557569248096E-6</v>
      </c>
      <c r="H32" s="66">
        <v>1.5588953407968801E-4</v>
      </c>
      <c r="I32" s="66">
        <v>2.6505282207642099E-3</v>
      </c>
      <c r="J32" s="66" t="s">
        <v>132</v>
      </c>
      <c r="K32" s="66" t="s">
        <v>132</v>
      </c>
      <c r="L32" s="66" t="s">
        <v>132</v>
      </c>
      <c r="M32" s="66">
        <v>5.9651374650905801E-5</v>
      </c>
      <c r="N32" s="66" t="s">
        <v>132</v>
      </c>
      <c r="O32" s="66" t="s">
        <v>132</v>
      </c>
      <c r="P32" s="66" t="s">
        <v>132</v>
      </c>
      <c r="Q32" s="66" t="s">
        <v>132</v>
      </c>
      <c r="R32" s="66" t="s">
        <v>132</v>
      </c>
      <c r="S32" s="84">
        <v>2.9154812494162899E-3</v>
      </c>
      <c r="T32" s="88">
        <v>6.5780832547528457E-3</v>
      </c>
    </row>
    <row r="33" spans="1:20" x14ac:dyDescent="0.2">
      <c r="A33" s="35" t="s">
        <v>22</v>
      </c>
      <c r="B33" s="40" t="s">
        <v>68</v>
      </c>
      <c r="C33" s="103" t="s">
        <v>132</v>
      </c>
      <c r="D33" s="104" t="s">
        <v>132</v>
      </c>
      <c r="E33" s="67" t="s">
        <v>132</v>
      </c>
      <c r="F33" s="67" t="s">
        <v>132</v>
      </c>
      <c r="G33" s="67" t="s">
        <v>132</v>
      </c>
      <c r="H33" s="67" t="s">
        <v>132</v>
      </c>
      <c r="I33" s="67" t="s">
        <v>132</v>
      </c>
      <c r="J33" s="67" t="s">
        <v>132</v>
      </c>
      <c r="K33" s="67">
        <v>1.72652023071386E-3</v>
      </c>
      <c r="L33" s="67" t="s">
        <v>132</v>
      </c>
      <c r="M33" s="67" t="s">
        <v>132</v>
      </c>
      <c r="N33" s="67" t="s">
        <v>132</v>
      </c>
      <c r="O33" s="67" t="s">
        <v>132</v>
      </c>
      <c r="P33" s="67" t="s">
        <v>132</v>
      </c>
      <c r="Q33" s="67" t="s">
        <v>132</v>
      </c>
      <c r="R33" s="67" t="s">
        <v>132</v>
      </c>
      <c r="S33" s="85" t="s">
        <v>132</v>
      </c>
      <c r="T33" s="89">
        <v>1.72652023071386E-3</v>
      </c>
    </row>
    <row r="34" spans="1:20" x14ac:dyDescent="0.2">
      <c r="A34" s="36" t="s">
        <v>69</v>
      </c>
      <c r="B34" s="39" t="s">
        <v>68</v>
      </c>
      <c r="C34" s="105">
        <v>5.36710619902398E-4</v>
      </c>
      <c r="D34" s="106" t="s">
        <v>132</v>
      </c>
      <c r="E34" s="66">
        <v>1.2742622893943699E-5</v>
      </c>
      <c r="F34" s="66">
        <v>1.69636047972032E-4</v>
      </c>
      <c r="G34" s="66">
        <v>4.5535813632482898E-5</v>
      </c>
      <c r="H34" s="66">
        <v>5.3408622520021203E-5</v>
      </c>
      <c r="I34" s="66">
        <v>1.17641492375002E-3</v>
      </c>
      <c r="J34" s="66">
        <v>2.75149186024574E-5</v>
      </c>
      <c r="K34" s="66" t="s">
        <v>132</v>
      </c>
      <c r="L34" s="66" t="s">
        <v>132</v>
      </c>
      <c r="M34" s="66">
        <v>1.07768937174712E-4</v>
      </c>
      <c r="N34" s="66">
        <v>8.5755427862197706E-6</v>
      </c>
      <c r="O34" s="66" t="s">
        <v>132</v>
      </c>
      <c r="P34" s="66" t="s">
        <v>132</v>
      </c>
      <c r="Q34" s="66" t="s">
        <v>132</v>
      </c>
      <c r="R34" s="66">
        <v>1.5276563994376301E-5</v>
      </c>
      <c r="S34" s="84">
        <v>3.7224763834380501E-3</v>
      </c>
      <c r="T34" s="88">
        <v>5.8760609966667134E-3</v>
      </c>
    </row>
    <row r="35" spans="1:20" x14ac:dyDescent="0.2">
      <c r="A35" s="35" t="s">
        <v>77</v>
      </c>
      <c r="B35" s="40" t="s">
        <v>70</v>
      </c>
      <c r="C35" s="103">
        <v>4.4340037100594801E-4</v>
      </c>
      <c r="D35" s="104" t="s">
        <v>132</v>
      </c>
      <c r="E35" s="67" t="s">
        <v>132</v>
      </c>
      <c r="F35" s="67" t="s">
        <v>132</v>
      </c>
      <c r="G35" s="67" t="s">
        <v>132</v>
      </c>
      <c r="H35" s="67" t="s">
        <v>132</v>
      </c>
      <c r="I35" s="67">
        <v>8.4546123862085305E-4</v>
      </c>
      <c r="J35" s="67" t="s">
        <v>132</v>
      </c>
      <c r="K35" s="67">
        <v>1.7351109941415499E-3</v>
      </c>
      <c r="L35" s="67">
        <v>3.9553692302073803E-3</v>
      </c>
      <c r="M35" s="67">
        <v>7.6843544602482397E-5</v>
      </c>
      <c r="N35" s="67" t="s">
        <v>132</v>
      </c>
      <c r="O35" s="67" t="s">
        <v>132</v>
      </c>
      <c r="P35" s="67" t="s">
        <v>132</v>
      </c>
      <c r="Q35" s="67" t="s">
        <v>132</v>
      </c>
      <c r="R35" s="67">
        <v>9.1355308909760202E-7</v>
      </c>
      <c r="S35" s="85">
        <v>2.2122650046214401E-3</v>
      </c>
      <c r="T35" s="89">
        <v>9.2693639362887506E-3</v>
      </c>
    </row>
    <row r="36" spans="1:20" x14ac:dyDescent="0.2">
      <c r="A36" s="36" t="s">
        <v>28</v>
      </c>
      <c r="B36" s="39" t="s">
        <v>70</v>
      </c>
      <c r="C36" s="105" t="s">
        <v>132</v>
      </c>
      <c r="D36" s="106" t="s">
        <v>132</v>
      </c>
      <c r="E36" s="66" t="s">
        <v>132</v>
      </c>
      <c r="F36" s="66">
        <v>1.1137990394372799E-4</v>
      </c>
      <c r="G36" s="66" t="s">
        <v>132</v>
      </c>
      <c r="H36" s="66" t="s">
        <v>132</v>
      </c>
      <c r="I36" s="66" t="s">
        <v>132</v>
      </c>
      <c r="J36" s="66" t="s">
        <v>132</v>
      </c>
      <c r="K36" s="66">
        <v>7.5695080350106698E-6</v>
      </c>
      <c r="L36" s="66" t="s">
        <v>132</v>
      </c>
      <c r="M36" s="66" t="s">
        <v>132</v>
      </c>
      <c r="N36" s="66" t="s">
        <v>132</v>
      </c>
      <c r="O36" s="66" t="s">
        <v>132</v>
      </c>
      <c r="P36" s="66" t="s">
        <v>132</v>
      </c>
      <c r="Q36" s="66" t="s">
        <v>132</v>
      </c>
      <c r="R36" s="66" t="s">
        <v>132</v>
      </c>
      <c r="S36" s="84">
        <v>2.39620125281139E-3</v>
      </c>
      <c r="T36" s="88">
        <v>2.5151506647901286E-3</v>
      </c>
    </row>
    <row r="37" spans="1:20" x14ac:dyDescent="0.2">
      <c r="A37" s="35" t="s">
        <v>29</v>
      </c>
      <c r="B37" s="40" t="s">
        <v>70</v>
      </c>
      <c r="C37" s="103" t="s">
        <v>132</v>
      </c>
      <c r="D37" s="104" t="s">
        <v>132</v>
      </c>
      <c r="E37" s="67" t="s">
        <v>132</v>
      </c>
      <c r="F37" s="67" t="s">
        <v>132</v>
      </c>
      <c r="G37" s="67" t="s">
        <v>132</v>
      </c>
      <c r="H37" s="67" t="s">
        <v>132</v>
      </c>
      <c r="I37" s="67">
        <v>9.1355308909760202E-7</v>
      </c>
      <c r="J37" s="67" t="s">
        <v>132</v>
      </c>
      <c r="K37" s="67" t="s">
        <v>132</v>
      </c>
      <c r="L37" s="67" t="s">
        <v>132</v>
      </c>
      <c r="M37" s="67" t="s">
        <v>132</v>
      </c>
      <c r="N37" s="67" t="s">
        <v>132</v>
      </c>
      <c r="O37" s="67" t="s">
        <v>132</v>
      </c>
      <c r="P37" s="67" t="s">
        <v>132</v>
      </c>
      <c r="Q37" s="67" t="s">
        <v>132</v>
      </c>
      <c r="R37" s="67" t="s">
        <v>132</v>
      </c>
      <c r="S37" s="85">
        <v>1.5679695215379199E-4</v>
      </c>
      <c r="T37" s="89">
        <v>1.5771050524288958E-4</v>
      </c>
    </row>
    <row r="38" spans="1:20" x14ac:dyDescent="0.2">
      <c r="A38" s="36" t="s">
        <v>30</v>
      </c>
      <c r="B38" s="39" t="s">
        <v>70</v>
      </c>
      <c r="C38" s="105" t="s">
        <v>132</v>
      </c>
      <c r="D38" s="106" t="s">
        <v>132</v>
      </c>
      <c r="E38" s="66">
        <v>4.32543316286324E-6</v>
      </c>
      <c r="F38" s="66">
        <v>7.7633312909842995E-5</v>
      </c>
      <c r="G38" s="66">
        <v>5.8083547063890702E-6</v>
      </c>
      <c r="H38" s="66">
        <v>9.5923074355248205E-5</v>
      </c>
      <c r="I38" s="66">
        <v>3.1481052633630598E-4</v>
      </c>
      <c r="J38" s="66" t="s">
        <v>132</v>
      </c>
      <c r="K38" s="66">
        <v>8.8974314987822902E-6</v>
      </c>
      <c r="L38" s="66" t="s">
        <v>132</v>
      </c>
      <c r="M38" s="66">
        <v>2.8503094348751301E-6</v>
      </c>
      <c r="N38" s="66" t="s">
        <v>132</v>
      </c>
      <c r="O38" s="66">
        <v>4.5103964870862297E-5</v>
      </c>
      <c r="P38" s="66" t="s">
        <v>132</v>
      </c>
      <c r="Q38" s="66" t="s">
        <v>132</v>
      </c>
      <c r="R38" s="66" t="s">
        <v>132</v>
      </c>
      <c r="S38" s="84">
        <v>5.5819850760398101E-3</v>
      </c>
      <c r="T38" s="88">
        <v>6.1373374833149797E-3</v>
      </c>
    </row>
    <row r="39" spans="1:20" x14ac:dyDescent="0.2">
      <c r="A39" s="35" t="s">
        <v>31</v>
      </c>
      <c r="B39" s="40" t="s">
        <v>70</v>
      </c>
      <c r="C39" s="103">
        <v>1.08135829071581E-6</v>
      </c>
      <c r="D39" s="104" t="s">
        <v>132</v>
      </c>
      <c r="E39" s="67" t="s">
        <v>132</v>
      </c>
      <c r="F39" s="67">
        <v>5.9921354413276502E-4</v>
      </c>
      <c r="G39" s="67" t="s">
        <v>132</v>
      </c>
      <c r="H39" s="67">
        <v>8.65086632572648E-6</v>
      </c>
      <c r="I39" s="67">
        <v>6.8371630097070006E-5</v>
      </c>
      <c r="J39" s="67" t="s">
        <v>132</v>
      </c>
      <c r="K39" s="67">
        <v>3.58896537970363E-5</v>
      </c>
      <c r="L39" s="67" t="s">
        <v>132</v>
      </c>
      <c r="M39" s="67">
        <v>1.08135829071581E-6</v>
      </c>
      <c r="N39" s="67" t="s">
        <v>132</v>
      </c>
      <c r="O39" s="67" t="s">
        <v>132</v>
      </c>
      <c r="P39" s="67" t="s">
        <v>132</v>
      </c>
      <c r="Q39" s="67" t="s">
        <v>132</v>
      </c>
      <c r="R39" s="67" t="s">
        <v>132</v>
      </c>
      <c r="S39" s="85">
        <v>7.2150284292591901E-4</v>
      </c>
      <c r="T39" s="89">
        <v>1.4357912538599483E-3</v>
      </c>
    </row>
    <row r="40" spans="1:20" x14ac:dyDescent="0.2">
      <c r="A40" s="36" t="s">
        <v>20</v>
      </c>
      <c r="B40" s="39" t="s">
        <v>70</v>
      </c>
      <c r="C40" s="105" t="s">
        <v>132</v>
      </c>
      <c r="D40" s="106" t="s">
        <v>132</v>
      </c>
      <c r="E40" s="66" t="s">
        <v>132</v>
      </c>
      <c r="F40" s="66" t="s">
        <v>132</v>
      </c>
      <c r="G40" s="66">
        <v>4.5952746306313698E-4</v>
      </c>
      <c r="H40" s="66" t="s">
        <v>132</v>
      </c>
      <c r="I40" s="66" t="s">
        <v>132</v>
      </c>
      <c r="J40" s="66" t="s">
        <v>132</v>
      </c>
      <c r="K40" s="66" t="s">
        <v>132</v>
      </c>
      <c r="L40" s="66" t="s">
        <v>132</v>
      </c>
      <c r="M40" s="66" t="s">
        <v>132</v>
      </c>
      <c r="N40" s="66" t="s">
        <v>132</v>
      </c>
      <c r="O40" s="66" t="s">
        <v>132</v>
      </c>
      <c r="P40" s="66" t="s">
        <v>132</v>
      </c>
      <c r="Q40" s="66" t="s">
        <v>132</v>
      </c>
      <c r="R40" s="66" t="s">
        <v>132</v>
      </c>
      <c r="S40" s="84" t="s">
        <v>132</v>
      </c>
      <c r="T40" s="88">
        <v>4.5952746306313698E-4</v>
      </c>
    </row>
    <row r="41" spans="1:20" x14ac:dyDescent="0.2">
      <c r="A41" s="35" t="s">
        <v>32</v>
      </c>
      <c r="B41" s="40" t="s">
        <v>70</v>
      </c>
      <c r="C41" s="103">
        <v>2.4665933405635199E-5</v>
      </c>
      <c r="D41" s="104" t="s">
        <v>132</v>
      </c>
      <c r="E41" s="67">
        <v>1.1275991217715601E-6</v>
      </c>
      <c r="F41" s="67">
        <v>2.4978724643056699E-4</v>
      </c>
      <c r="G41" s="67" t="s">
        <v>132</v>
      </c>
      <c r="H41" s="67">
        <v>1.1275991217715601E-6</v>
      </c>
      <c r="I41" s="67">
        <v>8.25251934097697E-5</v>
      </c>
      <c r="J41" s="67">
        <v>4.4179148249747402E-6</v>
      </c>
      <c r="K41" s="67">
        <v>1.8329393752123399E-5</v>
      </c>
      <c r="L41" s="67" t="s">
        <v>132</v>
      </c>
      <c r="M41" s="67" t="s">
        <v>132</v>
      </c>
      <c r="N41" s="67" t="s">
        <v>132</v>
      </c>
      <c r="O41" s="67" t="s">
        <v>132</v>
      </c>
      <c r="P41" s="67" t="s">
        <v>132</v>
      </c>
      <c r="Q41" s="67" t="s">
        <v>132</v>
      </c>
      <c r="R41" s="67" t="s">
        <v>132</v>
      </c>
      <c r="S41" s="85">
        <v>7.0501370720557604E-3</v>
      </c>
      <c r="T41" s="89">
        <v>7.4321179521223734E-3</v>
      </c>
    </row>
    <row r="42" spans="1:20" x14ac:dyDescent="0.2">
      <c r="A42" s="36" t="s">
        <v>23</v>
      </c>
      <c r="B42" s="39" t="s">
        <v>71</v>
      </c>
      <c r="C42" s="105" t="s">
        <v>132</v>
      </c>
      <c r="D42" s="106" t="s">
        <v>132</v>
      </c>
      <c r="E42" s="66" t="s">
        <v>132</v>
      </c>
      <c r="F42" s="66" t="s">
        <v>132</v>
      </c>
      <c r="G42" s="66" t="s">
        <v>132</v>
      </c>
      <c r="H42" s="66" t="s">
        <v>132</v>
      </c>
      <c r="I42" s="66" t="s">
        <v>132</v>
      </c>
      <c r="J42" s="66" t="s">
        <v>132</v>
      </c>
      <c r="K42" s="66" t="s">
        <v>132</v>
      </c>
      <c r="L42" s="66">
        <v>5.2337245786168796E-3</v>
      </c>
      <c r="M42" s="66" t="s">
        <v>132</v>
      </c>
      <c r="N42" s="66" t="s">
        <v>132</v>
      </c>
      <c r="O42" s="66" t="s">
        <v>132</v>
      </c>
      <c r="P42" s="66" t="s">
        <v>132</v>
      </c>
      <c r="Q42" s="66" t="s">
        <v>132</v>
      </c>
      <c r="R42" s="66" t="s">
        <v>132</v>
      </c>
      <c r="S42" s="84" t="s">
        <v>132</v>
      </c>
      <c r="T42" s="88">
        <v>5.2337245786168796E-3</v>
      </c>
    </row>
    <row r="43" spans="1:20" x14ac:dyDescent="0.2">
      <c r="A43" s="35" t="s">
        <v>24</v>
      </c>
      <c r="B43" s="40" t="s">
        <v>72</v>
      </c>
      <c r="C43" s="103" t="s">
        <v>132</v>
      </c>
      <c r="D43" s="104" t="s">
        <v>132</v>
      </c>
      <c r="E43" s="67" t="s">
        <v>132</v>
      </c>
      <c r="F43" s="67" t="s">
        <v>132</v>
      </c>
      <c r="G43" s="67" t="s">
        <v>132</v>
      </c>
      <c r="H43" s="67" t="s">
        <v>132</v>
      </c>
      <c r="I43" s="67" t="s">
        <v>132</v>
      </c>
      <c r="J43" s="67" t="s">
        <v>132</v>
      </c>
      <c r="K43" s="67" t="s">
        <v>132</v>
      </c>
      <c r="L43" s="67" t="s">
        <v>132</v>
      </c>
      <c r="M43" s="67" t="s">
        <v>132</v>
      </c>
      <c r="N43" s="67" t="s">
        <v>132</v>
      </c>
      <c r="O43" s="67" t="s">
        <v>132</v>
      </c>
      <c r="P43" s="67">
        <v>2.6840947978051099E-2</v>
      </c>
      <c r="Q43" s="67" t="s">
        <v>132</v>
      </c>
      <c r="R43" s="67" t="s">
        <v>132</v>
      </c>
      <c r="S43" s="85" t="s">
        <v>132</v>
      </c>
      <c r="T43" s="89">
        <v>2.6840947978051099E-2</v>
      </c>
    </row>
    <row r="44" spans="1:20" x14ac:dyDescent="0.2">
      <c r="A44" s="36" t="s">
        <v>25</v>
      </c>
      <c r="B44" s="39" t="s">
        <v>72</v>
      </c>
      <c r="C44" s="105" t="s">
        <v>132</v>
      </c>
      <c r="D44" s="106" t="s">
        <v>132</v>
      </c>
      <c r="E44" s="66" t="s">
        <v>132</v>
      </c>
      <c r="F44" s="66" t="s">
        <v>132</v>
      </c>
      <c r="G44" s="66" t="s">
        <v>132</v>
      </c>
      <c r="H44" s="66" t="s">
        <v>132</v>
      </c>
      <c r="I44" s="66" t="s">
        <v>132</v>
      </c>
      <c r="J44" s="66" t="s">
        <v>132</v>
      </c>
      <c r="K44" s="66" t="s">
        <v>132</v>
      </c>
      <c r="L44" s="66" t="s">
        <v>132</v>
      </c>
      <c r="M44" s="66" t="s">
        <v>132</v>
      </c>
      <c r="N44" s="66" t="s">
        <v>132</v>
      </c>
      <c r="O44" s="66" t="s">
        <v>132</v>
      </c>
      <c r="P44" s="66">
        <v>2.6088575143327901E-2</v>
      </c>
      <c r="Q44" s="66" t="s">
        <v>132</v>
      </c>
      <c r="R44" s="66" t="s">
        <v>132</v>
      </c>
      <c r="S44" s="84" t="s">
        <v>132</v>
      </c>
      <c r="T44" s="88">
        <v>2.6088575143327901E-2</v>
      </c>
    </row>
    <row r="45" spans="1:20" x14ac:dyDescent="0.2">
      <c r="A45" s="35" t="s">
        <v>78</v>
      </c>
      <c r="B45" s="40" t="s">
        <v>72</v>
      </c>
      <c r="C45" s="103" t="s">
        <v>132</v>
      </c>
      <c r="D45" s="104" t="s">
        <v>132</v>
      </c>
      <c r="E45" s="67" t="s">
        <v>132</v>
      </c>
      <c r="F45" s="67" t="s">
        <v>132</v>
      </c>
      <c r="G45" s="67" t="s">
        <v>132</v>
      </c>
      <c r="H45" s="67" t="s">
        <v>132</v>
      </c>
      <c r="I45" s="67" t="s">
        <v>132</v>
      </c>
      <c r="J45" s="67" t="s">
        <v>132</v>
      </c>
      <c r="K45" s="67" t="s">
        <v>132</v>
      </c>
      <c r="L45" s="67" t="s">
        <v>132</v>
      </c>
      <c r="M45" s="67" t="s">
        <v>132</v>
      </c>
      <c r="N45" s="67" t="s">
        <v>132</v>
      </c>
      <c r="O45" s="67" t="s">
        <v>132</v>
      </c>
      <c r="P45" s="67" t="s">
        <v>132</v>
      </c>
      <c r="Q45" s="67">
        <v>3.9260357040592019E-4</v>
      </c>
      <c r="R45" s="67" t="s">
        <v>132</v>
      </c>
      <c r="S45" s="85" t="s">
        <v>132</v>
      </c>
      <c r="T45" s="89">
        <v>3.9260357040592019E-4</v>
      </c>
    </row>
    <row r="46" spans="1:20" x14ac:dyDescent="0.2">
      <c r="A46" s="36" t="s">
        <v>26</v>
      </c>
      <c r="B46" s="39" t="s">
        <v>72</v>
      </c>
      <c r="C46" s="105" t="s">
        <v>132</v>
      </c>
      <c r="D46" s="106" t="s">
        <v>132</v>
      </c>
      <c r="E46" s="66" t="s">
        <v>132</v>
      </c>
      <c r="F46" s="66" t="s">
        <v>132</v>
      </c>
      <c r="G46" s="66" t="s">
        <v>132</v>
      </c>
      <c r="H46" s="66" t="s">
        <v>132</v>
      </c>
      <c r="I46" s="66" t="s">
        <v>132</v>
      </c>
      <c r="J46" s="66" t="s">
        <v>132</v>
      </c>
      <c r="K46" s="66" t="s">
        <v>132</v>
      </c>
      <c r="L46" s="66" t="s">
        <v>132</v>
      </c>
      <c r="M46" s="66" t="s">
        <v>132</v>
      </c>
      <c r="N46" s="66" t="s">
        <v>132</v>
      </c>
      <c r="O46" s="66" t="s">
        <v>132</v>
      </c>
      <c r="P46" s="66">
        <v>9.0033856517270604E-3</v>
      </c>
      <c r="Q46" s="66" t="s">
        <v>132</v>
      </c>
      <c r="R46" s="66" t="s">
        <v>132</v>
      </c>
      <c r="S46" s="84" t="s">
        <v>132</v>
      </c>
      <c r="T46" s="88">
        <v>9.0033856517270604E-3</v>
      </c>
    </row>
    <row r="47" spans="1:20" ht="13.5" thickBot="1" x14ac:dyDescent="0.25">
      <c r="A47" s="43" t="s">
        <v>27</v>
      </c>
      <c r="B47" s="42" t="s">
        <v>72</v>
      </c>
      <c r="C47" s="107" t="s">
        <v>132</v>
      </c>
      <c r="D47" s="108" t="s">
        <v>132</v>
      </c>
      <c r="E47" s="74" t="s">
        <v>132</v>
      </c>
      <c r="F47" s="74" t="s">
        <v>132</v>
      </c>
      <c r="G47" s="74" t="s">
        <v>132</v>
      </c>
      <c r="H47" s="74" t="s">
        <v>132</v>
      </c>
      <c r="I47" s="74" t="s">
        <v>132</v>
      </c>
      <c r="J47" s="74" t="s">
        <v>132</v>
      </c>
      <c r="K47" s="74" t="s">
        <v>132</v>
      </c>
      <c r="L47" s="74" t="s">
        <v>132</v>
      </c>
      <c r="M47" s="74" t="s">
        <v>132</v>
      </c>
      <c r="N47" s="74" t="s">
        <v>132</v>
      </c>
      <c r="O47" s="74" t="s">
        <v>132</v>
      </c>
      <c r="P47" s="74" t="s">
        <v>132</v>
      </c>
      <c r="Q47" s="74">
        <v>1.25912459750068E-2</v>
      </c>
      <c r="R47" s="74" t="s">
        <v>132</v>
      </c>
      <c r="S47" s="86" t="s">
        <v>132</v>
      </c>
      <c r="T47" s="75">
        <v>1.25912459750068E-2</v>
      </c>
    </row>
    <row r="48" spans="1:20" ht="14.25" thickTop="1" thickBot="1" x14ac:dyDescent="0.25">
      <c r="A48" s="34" t="s">
        <v>0</v>
      </c>
      <c r="B48" s="41"/>
      <c r="C48" s="101">
        <v>1.1620735267118503E-2</v>
      </c>
      <c r="D48" s="102" t="s">
        <v>132</v>
      </c>
      <c r="E48" s="73">
        <v>2.4252469124444297E-3</v>
      </c>
      <c r="F48" s="73">
        <v>3.572761088381855E-3</v>
      </c>
      <c r="G48" s="73">
        <v>5.369981275604673E-4</v>
      </c>
      <c r="H48" s="73">
        <v>3.3250892291353663E-4</v>
      </c>
      <c r="I48" s="73">
        <v>5.4763642880756025E-3</v>
      </c>
      <c r="J48" s="73">
        <v>3.1932833427432141E-5</v>
      </c>
      <c r="K48" s="73">
        <v>3.5410605599262004E-3</v>
      </c>
      <c r="L48" s="73">
        <v>9.1890938088242599E-3</v>
      </c>
      <c r="M48" s="73">
        <v>3.5929323052659077E-4</v>
      </c>
      <c r="N48" s="73">
        <v>3.2382291842239017E-5</v>
      </c>
      <c r="O48" s="73">
        <v>4.5103964870862297E-5</v>
      </c>
      <c r="P48" s="73">
        <v>6.193290877310606E-2</v>
      </c>
      <c r="Q48" s="73">
        <v>1.2983849545412721E-2</v>
      </c>
      <c r="R48" s="73">
        <v>3.8715255303584105E-5</v>
      </c>
      <c r="S48" s="87">
        <v>2.5054774350599163E-2</v>
      </c>
      <c r="T48" s="90">
        <v>0.13717372922033352</v>
      </c>
    </row>
    <row r="51" spans="1:20" ht="15" x14ac:dyDescent="0.25">
      <c r="A51" s="100" t="s">
        <v>93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</row>
    <row r="52" spans="1:20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ht="13.5" thickBot="1" x14ac:dyDescent="0.25">
      <c r="A53" s="31" t="s">
        <v>133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ht="39" thickBot="1" x14ac:dyDescent="0.25">
      <c r="A54" s="38" t="s">
        <v>65</v>
      </c>
      <c r="B54" s="37" t="s">
        <v>73</v>
      </c>
      <c r="C54" s="45" t="s">
        <v>74</v>
      </c>
      <c r="D54" s="46" t="s">
        <v>75</v>
      </c>
      <c r="E54" s="32" t="s">
        <v>50</v>
      </c>
      <c r="F54" s="32" t="s">
        <v>51</v>
      </c>
      <c r="G54" s="32" t="s">
        <v>52</v>
      </c>
      <c r="H54" s="32" t="s">
        <v>53</v>
      </c>
      <c r="I54" s="32" t="s">
        <v>63</v>
      </c>
      <c r="J54" s="32" t="s">
        <v>54</v>
      </c>
      <c r="K54" s="32" t="s">
        <v>55</v>
      </c>
      <c r="L54" s="32" t="s">
        <v>56</v>
      </c>
      <c r="M54" s="32" t="s">
        <v>57</v>
      </c>
      <c r="N54" s="32" t="s">
        <v>58</v>
      </c>
      <c r="O54" s="32" t="s">
        <v>59</v>
      </c>
      <c r="P54" s="32" t="s">
        <v>60</v>
      </c>
      <c r="Q54" s="32" t="s">
        <v>61</v>
      </c>
      <c r="R54" s="32" t="s">
        <v>81</v>
      </c>
      <c r="S54" s="44" t="s">
        <v>62</v>
      </c>
      <c r="T54" s="33" t="s">
        <v>0</v>
      </c>
    </row>
    <row r="55" spans="1:20" x14ac:dyDescent="0.2">
      <c r="A55" s="36" t="s">
        <v>67</v>
      </c>
      <c r="B55" s="39" t="s">
        <v>68</v>
      </c>
      <c r="C55" s="93">
        <v>8.6926023925917431E-2</v>
      </c>
      <c r="D55" s="94">
        <v>8.1000333067301703E-3</v>
      </c>
      <c r="E55" s="66">
        <v>4.4828763562370963E-2</v>
      </c>
      <c r="F55" s="66">
        <v>3.6462253716086329E-2</v>
      </c>
      <c r="G55" s="66">
        <v>4.2851500395478276E-4</v>
      </c>
      <c r="H55" s="66">
        <v>2.2340634131392888E-4</v>
      </c>
      <c r="I55" s="66">
        <v>3.5858133187370036E-3</v>
      </c>
      <c r="J55" s="66" t="s">
        <v>132</v>
      </c>
      <c r="K55" s="66">
        <v>4.4871496921589602E-5</v>
      </c>
      <c r="L55" s="66" t="s">
        <v>132</v>
      </c>
      <c r="M55" s="66">
        <v>1.1565520781072417E-3</v>
      </c>
      <c r="N55" s="66">
        <v>1.2000509952118201E-3</v>
      </c>
      <c r="O55" s="66" t="s">
        <v>132</v>
      </c>
      <c r="P55" s="66" t="s">
        <v>132</v>
      </c>
      <c r="Q55" s="66" t="s">
        <v>132</v>
      </c>
      <c r="R55" s="66">
        <v>3.7622500374765199E-6</v>
      </c>
      <c r="S55" s="84">
        <v>1.5803355763672651E-3</v>
      </c>
      <c r="T55" s="88">
        <v>0.18454038157175601</v>
      </c>
    </row>
    <row r="56" spans="1:20" x14ac:dyDescent="0.2">
      <c r="A56" s="35" t="s">
        <v>19</v>
      </c>
      <c r="B56" s="40" t="s">
        <v>68</v>
      </c>
      <c r="C56" s="103">
        <v>9.5411584014951801E-3</v>
      </c>
      <c r="D56" s="104" t="s">
        <v>132</v>
      </c>
      <c r="E56" s="67" t="s">
        <v>132</v>
      </c>
      <c r="F56" s="67" t="s">
        <v>132</v>
      </c>
      <c r="G56" s="67" t="s">
        <v>132</v>
      </c>
      <c r="H56" s="67" t="s">
        <v>132</v>
      </c>
      <c r="I56" s="67" t="s">
        <v>132</v>
      </c>
      <c r="J56" s="67" t="s">
        <v>132</v>
      </c>
      <c r="K56" s="67" t="s">
        <v>132</v>
      </c>
      <c r="L56" s="67" t="s">
        <v>132</v>
      </c>
      <c r="M56" s="67" t="s">
        <v>132</v>
      </c>
      <c r="N56" s="67" t="s">
        <v>132</v>
      </c>
      <c r="O56" s="67" t="s">
        <v>132</v>
      </c>
      <c r="P56" s="67" t="s">
        <v>132</v>
      </c>
      <c r="Q56" s="67" t="s">
        <v>132</v>
      </c>
      <c r="R56" s="67" t="s">
        <v>132</v>
      </c>
      <c r="S56" s="85" t="s">
        <v>132</v>
      </c>
      <c r="T56" s="89">
        <v>9.5411584014951801E-3</v>
      </c>
    </row>
    <row r="57" spans="1:20" x14ac:dyDescent="0.2">
      <c r="A57" s="36" t="s">
        <v>21</v>
      </c>
      <c r="B57" s="39" t="s">
        <v>68</v>
      </c>
      <c r="C57" s="105">
        <v>1.9553702230167001E-5</v>
      </c>
      <c r="D57" s="106" t="s">
        <v>132</v>
      </c>
      <c r="E57" s="66">
        <v>1.3860902884458101E-4</v>
      </c>
      <c r="F57" s="66">
        <v>6.8685574301739999E-4</v>
      </c>
      <c r="G57" s="66">
        <v>1.8811250187382599E-6</v>
      </c>
      <c r="H57" s="66">
        <v>1.07937270927215E-3</v>
      </c>
      <c r="I57" s="66">
        <v>1.11651059839391E-2</v>
      </c>
      <c r="J57" s="66" t="s">
        <v>132</v>
      </c>
      <c r="K57" s="66" t="s">
        <v>132</v>
      </c>
      <c r="L57" s="66" t="s">
        <v>132</v>
      </c>
      <c r="M57" s="66">
        <v>2.61548103845708E-5</v>
      </c>
      <c r="N57" s="66">
        <v>3.6830431732714003E-5</v>
      </c>
      <c r="O57" s="66" t="s">
        <v>132</v>
      </c>
      <c r="P57" s="66" t="s">
        <v>132</v>
      </c>
      <c r="Q57" s="66" t="s">
        <v>132</v>
      </c>
      <c r="R57" s="66" t="s">
        <v>132</v>
      </c>
      <c r="S57" s="84">
        <v>4.0574138512138496E-3</v>
      </c>
      <c r="T57" s="88">
        <v>1.7211777385653271E-2</v>
      </c>
    </row>
    <row r="58" spans="1:20" x14ac:dyDescent="0.2">
      <c r="A58" s="35" t="s">
        <v>22</v>
      </c>
      <c r="B58" s="40" t="s">
        <v>68</v>
      </c>
      <c r="C58" s="103" t="s">
        <v>132</v>
      </c>
      <c r="D58" s="104" t="s">
        <v>132</v>
      </c>
      <c r="E58" s="67" t="s">
        <v>132</v>
      </c>
      <c r="F58" s="67" t="s">
        <v>132</v>
      </c>
      <c r="G58" s="67" t="s">
        <v>132</v>
      </c>
      <c r="H58" s="67" t="s">
        <v>132</v>
      </c>
      <c r="I58" s="67" t="s">
        <v>132</v>
      </c>
      <c r="J58" s="67" t="s">
        <v>132</v>
      </c>
      <c r="K58" s="67">
        <v>3.20205048866879E-3</v>
      </c>
      <c r="L58" s="67" t="s">
        <v>132</v>
      </c>
      <c r="M58" s="67" t="s">
        <v>132</v>
      </c>
      <c r="N58" s="67" t="s">
        <v>132</v>
      </c>
      <c r="O58" s="67" t="s">
        <v>132</v>
      </c>
      <c r="P58" s="67" t="s">
        <v>132</v>
      </c>
      <c r="Q58" s="67" t="s">
        <v>132</v>
      </c>
      <c r="R58" s="67" t="s">
        <v>132</v>
      </c>
      <c r="S58" s="85" t="s">
        <v>132</v>
      </c>
      <c r="T58" s="89">
        <v>3.20205048866879E-3</v>
      </c>
    </row>
    <row r="59" spans="1:20" x14ac:dyDescent="0.2">
      <c r="A59" s="36" t="s">
        <v>69</v>
      </c>
      <c r="B59" s="39" t="s">
        <v>68</v>
      </c>
      <c r="C59" s="105">
        <v>7.0870308705442195E-5</v>
      </c>
      <c r="D59" s="106" t="s">
        <v>132</v>
      </c>
      <c r="E59" s="66">
        <v>5.1049763332037999E-5</v>
      </c>
      <c r="F59" s="66">
        <v>5.8727035170265298E-4</v>
      </c>
      <c r="G59" s="66">
        <v>1.27524535650393E-4</v>
      </c>
      <c r="H59" s="66">
        <v>3.13990865761792E-4</v>
      </c>
      <c r="I59" s="66">
        <v>2.9127059856166402E-3</v>
      </c>
      <c r="J59" s="66">
        <v>1.32055215017667E-5</v>
      </c>
      <c r="K59" s="66" t="s">
        <v>132</v>
      </c>
      <c r="L59" s="66" t="s">
        <v>132</v>
      </c>
      <c r="M59" s="66">
        <v>3.0509973546964599E-4</v>
      </c>
      <c r="N59" s="66" t="s">
        <v>132</v>
      </c>
      <c r="O59" s="66" t="s">
        <v>132</v>
      </c>
      <c r="P59" s="66" t="s">
        <v>132</v>
      </c>
      <c r="Q59" s="66" t="s">
        <v>132</v>
      </c>
      <c r="R59" s="66">
        <v>2.7335410847551501E-5</v>
      </c>
      <c r="S59" s="84">
        <v>5.3389526252998502E-3</v>
      </c>
      <c r="T59" s="88">
        <v>9.7480051038877722E-3</v>
      </c>
    </row>
    <row r="60" spans="1:20" x14ac:dyDescent="0.2">
      <c r="A60" s="35" t="s">
        <v>77</v>
      </c>
      <c r="B60" s="40" t="s">
        <v>70</v>
      </c>
      <c r="C60" s="103">
        <v>3.9841044843638902E-4</v>
      </c>
      <c r="D60" s="104" t="s">
        <v>132</v>
      </c>
      <c r="E60" s="67" t="s">
        <v>132</v>
      </c>
      <c r="F60" s="67" t="s">
        <v>132</v>
      </c>
      <c r="G60" s="67" t="s">
        <v>132</v>
      </c>
      <c r="H60" s="67" t="s">
        <v>132</v>
      </c>
      <c r="I60" s="67">
        <v>9.1184622142110499E-4</v>
      </c>
      <c r="J60" s="67" t="s">
        <v>132</v>
      </c>
      <c r="K60" s="67">
        <v>1.41644092247241E-3</v>
      </c>
      <c r="L60" s="67">
        <v>3.1019764410023101E-4</v>
      </c>
      <c r="M60" s="67">
        <v>2.4364900385985898E-5</v>
      </c>
      <c r="N60" s="67" t="s">
        <v>132</v>
      </c>
      <c r="O60" s="67" t="s">
        <v>132</v>
      </c>
      <c r="P60" s="67" t="s">
        <v>132</v>
      </c>
      <c r="Q60" s="67" t="s">
        <v>132</v>
      </c>
      <c r="R60" s="67">
        <v>5.4351660711242897E-6</v>
      </c>
      <c r="S60" s="85">
        <v>6.8355310459732998E-4</v>
      </c>
      <c r="T60" s="89">
        <v>3.750248407484575E-3</v>
      </c>
    </row>
    <row r="61" spans="1:20" x14ac:dyDescent="0.2">
      <c r="A61" s="36" t="s">
        <v>28</v>
      </c>
      <c r="B61" s="39" t="s">
        <v>70</v>
      </c>
      <c r="C61" s="105" t="s">
        <v>132</v>
      </c>
      <c r="D61" s="106" t="s">
        <v>132</v>
      </c>
      <c r="E61" s="66">
        <v>1.0009084353664001E-4</v>
      </c>
      <c r="F61" s="66" t="s">
        <v>132</v>
      </c>
      <c r="G61" s="66" t="s">
        <v>132</v>
      </c>
      <c r="H61" s="66" t="s">
        <v>132</v>
      </c>
      <c r="I61" s="66">
        <v>2.20091627192376E-4</v>
      </c>
      <c r="J61" s="66" t="s">
        <v>132</v>
      </c>
      <c r="K61" s="66" t="s">
        <v>132</v>
      </c>
      <c r="L61" s="66" t="s">
        <v>132</v>
      </c>
      <c r="M61" s="66" t="s">
        <v>132</v>
      </c>
      <c r="N61" s="66" t="s">
        <v>132</v>
      </c>
      <c r="O61" s="66" t="s">
        <v>132</v>
      </c>
      <c r="P61" s="66" t="s">
        <v>132</v>
      </c>
      <c r="Q61" s="66" t="s">
        <v>132</v>
      </c>
      <c r="R61" s="66" t="s">
        <v>132</v>
      </c>
      <c r="S61" s="84">
        <v>3.3209835543417201E-3</v>
      </c>
      <c r="T61" s="88">
        <v>3.6411660250707362E-3</v>
      </c>
    </row>
    <row r="62" spans="1:20" x14ac:dyDescent="0.2">
      <c r="A62" s="35" t="s">
        <v>29</v>
      </c>
      <c r="B62" s="40" t="s">
        <v>70</v>
      </c>
      <c r="C62" s="103" t="s">
        <v>132</v>
      </c>
      <c r="D62" s="104" t="s">
        <v>132</v>
      </c>
      <c r="E62" s="67" t="s">
        <v>132</v>
      </c>
      <c r="F62" s="67" t="s">
        <v>132</v>
      </c>
      <c r="G62" s="67" t="s">
        <v>132</v>
      </c>
      <c r="H62" s="67" t="s">
        <v>132</v>
      </c>
      <c r="I62" s="67">
        <v>1.74368328721071E-4</v>
      </c>
      <c r="J62" s="67" t="s">
        <v>132</v>
      </c>
      <c r="K62" s="67" t="s">
        <v>132</v>
      </c>
      <c r="L62" s="67" t="s">
        <v>132</v>
      </c>
      <c r="M62" s="67" t="s">
        <v>132</v>
      </c>
      <c r="N62" s="67" t="s">
        <v>132</v>
      </c>
      <c r="O62" s="67" t="s">
        <v>132</v>
      </c>
      <c r="P62" s="67" t="s">
        <v>132</v>
      </c>
      <c r="Q62" s="67" t="s">
        <v>132</v>
      </c>
      <c r="R62" s="67" t="s">
        <v>132</v>
      </c>
      <c r="S62" s="85">
        <v>3.19016165649306E-3</v>
      </c>
      <c r="T62" s="89">
        <v>3.364529985214131E-3</v>
      </c>
    </row>
    <row r="63" spans="1:20" x14ac:dyDescent="0.2">
      <c r="A63" s="36" t="s">
        <v>30</v>
      </c>
      <c r="B63" s="39" t="s">
        <v>70</v>
      </c>
      <c r="C63" s="105" t="s">
        <v>132</v>
      </c>
      <c r="D63" s="106" t="s">
        <v>132</v>
      </c>
      <c r="E63" s="66" t="s">
        <v>132</v>
      </c>
      <c r="F63" s="66">
        <v>1.5409200936378599E-3</v>
      </c>
      <c r="G63" s="66">
        <v>1.8811250187382599E-6</v>
      </c>
      <c r="H63" s="66">
        <v>1.8504480268963599E-4</v>
      </c>
      <c r="I63" s="66">
        <v>1.8276063853954101E-3</v>
      </c>
      <c r="J63" s="66" t="s">
        <v>132</v>
      </c>
      <c r="K63" s="66" t="s">
        <v>132</v>
      </c>
      <c r="L63" s="66" t="s">
        <v>132</v>
      </c>
      <c r="M63" s="66">
        <v>2.2435746361662301E-5</v>
      </c>
      <c r="N63" s="66" t="s">
        <v>132</v>
      </c>
      <c r="O63" s="66" t="s">
        <v>132</v>
      </c>
      <c r="P63" s="66" t="s">
        <v>132</v>
      </c>
      <c r="Q63" s="66" t="s">
        <v>132</v>
      </c>
      <c r="R63" s="66" t="s">
        <v>132</v>
      </c>
      <c r="S63" s="84">
        <v>1.6753979916121299E-2</v>
      </c>
      <c r="T63" s="88">
        <v>2.0331868069224605E-2</v>
      </c>
    </row>
    <row r="64" spans="1:20" x14ac:dyDescent="0.2">
      <c r="A64" s="35" t="s">
        <v>31</v>
      </c>
      <c r="B64" s="40" t="s">
        <v>70</v>
      </c>
      <c r="C64" s="103">
        <v>1.65319523885372E-5</v>
      </c>
      <c r="D64" s="104" t="s">
        <v>132</v>
      </c>
      <c r="E64" s="67">
        <v>4.0297137565304699E-4</v>
      </c>
      <c r="F64" s="67">
        <v>3.0432986759955198E-3</v>
      </c>
      <c r="G64" s="67" t="s">
        <v>132</v>
      </c>
      <c r="H64" s="67">
        <v>2.09027574370885E-4</v>
      </c>
      <c r="I64" s="67">
        <v>4.32577160265464E-4</v>
      </c>
      <c r="J64" s="67" t="s">
        <v>132</v>
      </c>
      <c r="K64" s="67" t="s">
        <v>132</v>
      </c>
      <c r="L64" s="67" t="s">
        <v>132</v>
      </c>
      <c r="M64" s="67" t="s">
        <v>132</v>
      </c>
      <c r="N64" s="67" t="s">
        <v>132</v>
      </c>
      <c r="O64" s="67" t="s">
        <v>132</v>
      </c>
      <c r="P64" s="67" t="s">
        <v>132</v>
      </c>
      <c r="Q64" s="67" t="s">
        <v>132</v>
      </c>
      <c r="R64" s="67" t="s">
        <v>132</v>
      </c>
      <c r="S64" s="85">
        <v>3.9603263139909497E-3</v>
      </c>
      <c r="T64" s="89">
        <v>8.0647330526644016E-3</v>
      </c>
    </row>
    <row r="65" spans="1:20" x14ac:dyDescent="0.2">
      <c r="A65" s="36" t="s">
        <v>20</v>
      </c>
      <c r="B65" s="39" t="s">
        <v>70</v>
      </c>
      <c r="C65" s="105" t="s">
        <v>132</v>
      </c>
      <c r="D65" s="106" t="s">
        <v>132</v>
      </c>
      <c r="E65" s="66" t="s">
        <v>132</v>
      </c>
      <c r="F65" s="66" t="s">
        <v>132</v>
      </c>
      <c r="G65" s="66">
        <v>2.4609259502768002E-4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 t="s">
        <v>132</v>
      </c>
      <c r="M65" s="66" t="s">
        <v>132</v>
      </c>
      <c r="N65" s="66" t="s">
        <v>132</v>
      </c>
      <c r="O65" s="66" t="s">
        <v>132</v>
      </c>
      <c r="P65" s="66" t="s">
        <v>132</v>
      </c>
      <c r="Q65" s="66" t="s">
        <v>132</v>
      </c>
      <c r="R65" s="66" t="s">
        <v>132</v>
      </c>
      <c r="S65" s="84" t="s">
        <v>132</v>
      </c>
      <c r="T65" s="88">
        <v>2.4609259502768002E-4</v>
      </c>
    </row>
    <row r="66" spans="1:20" x14ac:dyDescent="0.2">
      <c r="A66" s="35" t="s">
        <v>32</v>
      </c>
      <c r="B66" s="40" t="s">
        <v>70</v>
      </c>
      <c r="C66" s="103">
        <v>5.0650057404690001E-5</v>
      </c>
      <c r="D66" s="104" t="s">
        <v>132</v>
      </c>
      <c r="E66" s="67">
        <v>4.1822900841194297E-6</v>
      </c>
      <c r="F66" s="67">
        <v>1.3308396765520199E-4</v>
      </c>
      <c r="G66" s="67" t="s">
        <v>132</v>
      </c>
      <c r="H66" s="67">
        <v>2.08646976836932E-5</v>
      </c>
      <c r="I66" s="67">
        <v>7.3678438542655296E-4</v>
      </c>
      <c r="J66" s="67" t="s">
        <v>132</v>
      </c>
      <c r="K66" s="67">
        <v>6.5729302601951004E-5</v>
      </c>
      <c r="L66" s="67" t="s">
        <v>132</v>
      </c>
      <c r="M66" s="67">
        <v>6.9120745411127004E-5</v>
      </c>
      <c r="N66" s="67" t="s">
        <v>132</v>
      </c>
      <c r="O66" s="67">
        <v>5.4103158668454103E-6</v>
      </c>
      <c r="P66" s="67" t="s">
        <v>132</v>
      </c>
      <c r="Q66" s="67" t="s">
        <v>132</v>
      </c>
      <c r="R66" s="67" t="s">
        <v>132</v>
      </c>
      <c r="S66" s="85">
        <v>1.38693965429299E-2</v>
      </c>
      <c r="T66" s="89">
        <v>1.4955222305064081E-2</v>
      </c>
    </row>
    <row r="67" spans="1:20" x14ac:dyDescent="0.2">
      <c r="A67" s="36" t="s">
        <v>23</v>
      </c>
      <c r="B67" s="39" t="s">
        <v>71</v>
      </c>
      <c r="C67" s="105" t="s">
        <v>132</v>
      </c>
      <c r="D67" s="106" t="s">
        <v>132</v>
      </c>
      <c r="E67" s="66" t="s">
        <v>132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 t="s">
        <v>132</v>
      </c>
      <c r="K67" s="66" t="s">
        <v>132</v>
      </c>
      <c r="L67" s="66">
        <v>1.0250269532215701E-3</v>
      </c>
      <c r="M67" s="66" t="s">
        <v>132</v>
      </c>
      <c r="N67" s="66" t="s">
        <v>132</v>
      </c>
      <c r="O67" s="66" t="s">
        <v>132</v>
      </c>
      <c r="P67" s="66" t="s">
        <v>132</v>
      </c>
      <c r="Q67" s="66" t="s">
        <v>132</v>
      </c>
      <c r="R67" s="66" t="s">
        <v>132</v>
      </c>
      <c r="S67" s="84" t="s">
        <v>132</v>
      </c>
      <c r="T67" s="88">
        <v>1.0250269532215701E-3</v>
      </c>
    </row>
    <row r="68" spans="1:20" x14ac:dyDescent="0.2">
      <c r="A68" s="35" t="s">
        <v>24</v>
      </c>
      <c r="B68" s="40" t="s">
        <v>72</v>
      </c>
      <c r="C68" s="103" t="s">
        <v>132</v>
      </c>
      <c r="D68" s="104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 t="s">
        <v>132</v>
      </c>
      <c r="M68" s="67" t="s">
        <v>132</v>
      </c>
      <c r="N68" s="67" t="s">
        <v>132</v>
      </c>
      <c r="O68" s="67" t="s">
        <v>132</v>
      </c>
      <c r="P68" s="67">
        <v>8.7744146251192597E-3</v>
      </c>
      <c r="Q68" s="67" t="s">
        <v>132</v>
      </c>
      <c r="R68" s="67" t="s">
        <v>132</v>
      </c>
      <c r="S68" s="85" t="s">
        <v>132</v>
      </c>
      <c r="T68" s="89">
        <v>8.7744146251192597E-3</v>
      </c>
    </row>
    <row r="69" spans="1:20" x14ac:dyDescent="0.2">
      <c r="A69" s="36" t="s">
        <v>25</v>
      </c>
      <c r="B69" s="39" t="s">
        <v>72</v>
      </c>
      <c r="C69" s="105" t="s">
        <v>132</v>
      </c>
      <c r="D69" s="106" t="s">
        <v>132</v>
      </c>
      <c r="E69" s="66" t="s">
        <v>132</v>
      </c>
      <c r="F69" s="66" t="s">
        <v>132</v>
      </c>
      <c r="G69" s="66" t="s">
        <v>132</v>
      </c>
      <c r="H69" s="66" t="s">
        <v>132</v>
      </c>
      <c r="I69" s="66" t="s">
        <v>132</v>
      </c>
      <c r="J69" s="66" t="s">
        <v>132</v>
      </c>
      <c r="K69" s="66" t="s">
        <v>132</v>
      </c>
      <c r="L69" s="66" t="s">
        <v>132</v>
      </c>
      <c r="M69" s="66" t="s">
        <v>132</v>
      </c>
      <c r="N69" s="66" t="s">
        <v>132</v>
      </c>
      <c r="O69" s="66" t="s">
        <v>132</v>
      </c>
      <c r="P69" s="66">
        <v>3.2056712390885103E-2</v>
      </c>
      <c r="Q69" s="66" t="s">
        <v>132</v>
      </c>
      <c r="R69" s="66" t="s">
        <v>132</v>
      </c>
      <c r="S69" s="84" t="s">
        <v>132</v>
      </c>
      <c r="T69" s="88">
        <v>3.2056712390885103E-2</v>
      </c>
    </row>
    <row r="70" spans="1:20" x14ac:dyDescent="0.2">
      <c r="A70" s="35" t="s">
        <v>78</v>
      </c>
      <c r="B70" s="40" t="s">
        <v>72</v>
      </c>
      <c r="C70" s="103" t="s">
        <v>132</v>
      </c>
      <c r="D70" s="104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67" t="s">
        <v>132</v>
      </c>
      <c r="Q70" s="67">
        <v>1.1681504090161547E-4</v>
      </c>
      <c r="R70" s="67" t="s">
        <v>132</v>
      </c>
      <c r="S70" s="85" t="s">
        <v>132</v>
      </c>
      <c r="T70" s="89">
        <v>1.1681504090161547E-4</v>
      </c>
    </row>
    <row r="71" spans="1:20" x14ac:dyDescent="0.2">
      <c r="A71" s="36" t="s">
        <v>26</v>
      </c>
      <c r="B71" s="39" t="s">
        <v>72</v>
      </c>
      <c r="C71" s="105" t="s">
        <v>132</v>
      </c>
      <c r="D71" s="106" t="s">
        <v>132</v>
      </c>
      <c r="E71" s="66" t="s">
        <v>132</v>
      </c>
      <c r="F71" s="66" t="s">
        <v>132</v>
      </c>
      <c r="G71" s="66" t="s">
        <v>132</v>
      </c>
      <c r="H71" s="66" t="s">
        <v>132</v>
      </c>
      <c r="I71" s="66" t="s">
        <v>132</v>
      </c>
      <c r="J71" s="66" t="s">
        <v>132</v>
      </c>
      <c r="K71" s="66" t="s">
        <v>132</v>
      </c>
      <c r="L71" s="66" t="s">
        <v>132</v>
      </c>
      <c r="M71" s="66" t="s">
        <v>132</v>
      </c>
      <c r="N71" s="66" t="s">
        <v>132</v>
      </c>
      <c r="O71" s="66" t="s">
        <v>132</v>
      </c>
      <c r="P71" s="66">
        <v>3.5155828959443601E-3</v>
      </c>
      <c r="Q71" s="66" t="s">
        <v>132</v>
      </c>
      <c r="R71" s="66" t="s">
        <v>132</v>
      </c>
      <c r="S71" s="84" t="s">
        <v>132</v>
      </c>
      <c r="T71" s="88">
        <v>3.5155828959443601E-3</v>
      </c>
    </row>
    <row r="72" spans="1:20" ht="13.5" thickBot="1" x14ac:dyDescent="0.25">
      <c r="A72" s="43" t="s">
        <v>27</v>
      </c>
      <c r="B72" s="42" t="s">
        <v>72</v>
      </c>
      <c r="C72" s="107" t="s">
        <v>132</v>
      </c>
      <c r="D72" s="108" t="s">
        <v>132</v>
      </c>
      <c r="E72" s="74" t="s">
        <v>132</v>
      </c>
      <c r="F72" s="74" t="s">
        <v>132</v>
      </c>
      <c r="G72" s="74" t="s">
        <v>132</v>
      </c>
      <c r="H72" s="74" t="s">
        <v>132</v>
      </c>
      <c r="I72" s="74" t="s">
        <v>132</v>
      </c>
      <c r="J72" s="74" t="s">
        <v>132</v>
      </c>
      <c r="K72" s="74" t="s">
        <v>132</v>
      </c>
      <c r="L72" s="74" t="s">
        <v>132</v>
      </c>
      <c r="M72" s="74" t="s">
        <v>132</v>
      </c>
      <c r="N72" s="74" t="s">
        <v>132</v>
      </c>
      <c r="O72" s="74" t="s">
        <v>132</v>
      </c>
      <c r="P72" s="74" t="s">
        <v>132</v>
      </c>
      <c r="Q72" s="74">
        <v>2.5149182547043198E-3</v>
      </c>
      <c r="R72" s="74" t="s">
        <v>132</v>
      </c>
      <c r="S72" s="86" t="s">
        <v>132</v>
      </c>
      <c r="T72" s="75">
        <v>2.5149182547043198E-3</v>
      </c>
    </row>
    <row r="73" spans="1:20" ht="14.25" thickTop="1" thickBot="1" x14ac:dyDescent="0.25">
      <c r="A73" s="34" t="s">
        <v>0</v>
      </c>
      <c r="B73" s="41"/>
      <c r="C73" s="101">
        <v>0.10512323210330801</v>
      </c>
      <c r="D73" s="102" t="s">
        <v>132</v>
      </c>
      <c r="E73" s="73">
        <v>4.5525666863821396E-2</v>
      </c>
      <c r="F73" s="73">
        <v>4.2453682548094972E-2</v>
      </c>
      <c r="G73" s="73">
        <v>8.0589438467033219E-4</v>
      </c>
      <c r="H73" s="73">
        <v>2.031706991092085E-3</v>
      </c>
      <c r="I73" s="73">
        <v>2.1966899396714725E-2</v>
      </c>
      <c r="J73" s="73">
        <v>1.32055215017667E-5</v>
      </c>
      <c r="K73" s="73">
        <v>4.7290922106647407E-3</v>
      </c>
      <c r="L73" s="73">
        <v>1.3352245973218011E-3</v>
      </c>
      <c r="M73" s="73">
        <v>1.6037280161202336E-3</v>
      </c>
      <c r="N73" s="73">
        <v>1.2368814269445342E-3</v>
      </c>
      <c r="O73" s="73">
        <v>5.4103158668454103E-6</v>
      </c>
      <c r="P73" s="73">
        <v>4.4346709911948723E-2</v>
      </c>
      <c r="Q73" s="73">
        <v>2.6317332956059354E-3</v>
      </c>
      <c r="R73" s="73">
        <v>3.6532826956152314E-5</v>
      </c>
      <c r="S73" s="87">
        <v>5.2755103141355224E-2</v>
      </c>
      <c r="T73" s="90">
        <v>0.32660070355198745</v>
      </c>
    </row>
    <row r="76" spans="1:20" ht="15" x14ac:dyDescent="0.25">
      <c r="A76" s="100" t="s">
        <v>95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</row>
    <row r="77" spans="1:20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3.5" thickBot="1" x14ac:dyDescent="0.25">
      <c r="A78" s="31" t="s">
        <v>133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ht="39" thickBot="1" x14ac:dyDescent="0.25">
      <c r="A79" s="38" t="s">
        <v>65</v>
      </c>
      <c r="B79" s="37" t="s">
        <v>73</v>
      </c>
      <c r="C79" s="45" t="s">
        <v>74</v>
      </c>
      <c r="D79" s="46" t="s">
        <v>75</v>
      </c>
      <c r="E79" s="32" t="s">
        <v>50</v>
      </c>
      <c r="F79" s="32" t="s">
        <v>51</v>
      </c>
      <c r="G79" s="32" t="s">
        <v>52</v>
      </c>
      <c r="H79" s="32" t="s">
        <v>53</v>
      </c>
      <c r="I79" s="32" t="s">
        <v>63</v>
      </c>
      <c r="J79" s="32" t="s">
        <v>54</v>
      </c>
      <c r="K79" s="32" t="s">
        <v>55</v>
      </c>
      <c r="L79" s="32" t="s">
        <v>56</v>
      </c>
      <c r="M79" s="32" t="s">
        <v>57</v>
      </c>
      <c r="N79" s="32" t="s">
        <v>58</v>
      </c>
      <c r="O79" s="32" t="s">
        <v>59</v>
      </c>
      <c r="P79" s="32" t="s">
        <v>60</v>
      </c>
      <c r="Q79" s="32" t="s">
        <v>61</v>
      </c>
      <c r="R79" s="32" t="s">
        <v>81</v>
      </c>
      <c r="S79" s="44" t="s">
        <v>62</v>
      </c>
      <c r="T79" s="33" t="s">
        <v>0</v>
      </c>
    </row>
    <row r="80" spans="1:20" x14ac:dyDescent="0.2">
      <c r="A80" s="36" t="s">
        <v>67</v>
      </c>
      <c r="B80" s="39" t="s">
        <v>68</v>
      </c>
      <c r="C80" s="93">
        <v>1.42154523705548E-3</v>
      </c>
      <c r="D80" s="94">
        <v>1.9263919623975831E-4</v>
      </c>
      <c r="E80" s="66">
        <v>5.2141140547598639E-4</v>
      </c>
      <c r="F80" s="66">
        <v>3.2697416577607934E-4</v>
      </c>
      <c r="G80" s="66" t="s">
        <v>132</v>
      </c>
      <c r="H80" s="66" t="s">
        <v>132</v>
      </c>
      <c r="I80" s="66">
        <v>6.4771771424318691E-5</v>
      </c>
      <c r="J80" s="66" t="s">
        <v>132</v>
      </c>
      <c r="K80" s="66" t="s">
        <v>132</v>
      </c>
      <c r="L80" s="66" t="s">
        <v>132</v>
      </c>
      <c r="M80" s="66">
        <v>5.9007884651455538E-5</v>
      </c>
      <c r="N80" s="66" t="s">
        <v>132</v>
      </c>
      <c r="O80" s="66" t="s">
        <v>132</v>
      </c>
      <c r="P80" s="66" t="s">
        <v>132</v>
      </c>
      <c r="Q80" s="66" t="s">
        <v>132</v>
      </c>
      <c r="R80" s="66" t="s">
        <v>132</v>
      </c>
      <c r="S80" s="84">
        <v>3.06504496197537E-5</v>
      </c>
      <c r="T80" s="88">
        <v>2.6170001102428326E-3</v>
      </c>
    </row>
    <row r="81" spans="1:20" x14ac:dyDescent="0.2">
      <c r="A81" s="35" t="s">
        <v>19</v>
      </c>
      <c r="B81" s="40" t="s">
        <v>68</v>
      </c>
      <c r="C81" s="103">
        <v>3.9924582433164402E-4</v>
      </c>
      <c r="D81" s="104" t="s">
        <v>132</v>
      </c>
      <c r="E81" s="67" t="s">
        <v>132</v>
      </c>
      <c r="F81" s="67" t="s">
        <v>132</v>
      </c>
      <c r="G81" s="67" t="s">
        <v>132</v>
      </c>
      <c r="H81" s="67" t="s">
        <v>132</v>
      </c>
      <c r="I81" s="67" t="s">
        <v>132</v>
      </c>
      <c r="J81" s="67" t="s">
        <v>132</v>
      </c>
      <c r="K81" s="67" t="s">
        <v>132</v>
      </c>
      <c r="L81" s="67" t="s">
        <v>132</v>
      </c>
      <c r="M81" s="67" t="s">
        <v>132</v>
      </c>
      <c r="N81" s="67" t="s">
        <v>132</v>
      </c>
      <c r="O81" s="67" t="s">
        <v>132</v>
      </c>
      <c r="P81" s="67" t="s">
        <v>132</v>
      </c>
      <c r="Q81" s="67" t="s">
        <v>132</v>
      </c>
      <c r="R81" s="67" t="s">
        <v>132</v>
      </c>
      <c r="S81" s="85" t="s">
        <v>132</v>
      </c>
      <c r="T81" s="89">
        <v>3.9924582433164402E-4</v>
      </c>
    </row>
    <row r="82" spans="1:20" x14ac:dyDescent="0.2">
      <c r="A82" s="36" t="s">
        <v>21</v>
      </c>
      <c r="B82" s="39" t="s">
        <v>68</v>
      </c>
      <c r="C82" s="105" t="s">
        <v>132</v>
      </c>
      <c r="D82" s="106" t="s">
        <v>132</v>
      </c>
      <c r="E82" s="66">
        <v>1.6479084716224401E-6</v>
      </c>
      <c r="F82" s="66">
        <v>6.3877044748017397E-5</v>
      </c>
      <c r="G82" s="66" t="s">
        <v>132</v>
      </c>
      <c r="H82" s="66">
        <v>3.2260483904548098E-5</v>
      </c>
      <c r="I82" s="66">
        <v>2.33635402974252E-4</v>
      </c>
      <c r="J82" s="66" t="s">
        <v>132</v>
      </c>
      <c r="K82" s="66" t="s">
        <v>132</v>
      </c>
      <c r="L82" s="66" t="s">
        <v>132</v>
      </c>
      <c r="M82" s="66">
        <v>1.3139743661059599E-5</v>
      </c>
      <c r="N82" s="66" t="s">
        <v>132</v>
      </c>
      <c r="O82" s="66" t="s">
        <v>132</v>
      </c>
      <c r="P82" s="66" t="s">
        <v>132</v>
      </c>
      <c r="Q82" s="66" t="s">
        <v>132</v>
      </c>
      <c r="R82" s="66" t="s">
        <v>132</v>
      </c>
      <c r="S82" s="84">
        <v>1.5226923122071899E-4</v>
      </c>
      <c r="T82" s="88">
        <v>4.9682981498021857E-4</v>
      </c>
    </row>
    <row r="83" spans="1:20" x14ac:dyDescent="0.2">
      <c r="A83" s="35" t="s">
        <v>22</v>
      </c>
      <c r="B83" s="40" t="s">
        <v>68</v>
      </c>
      <c r="C83" s="103" t="s">
        <v>132</v>
      </c>
      <c r="D83" s="104" t="s">
        <v>132</v>
      </c>
      <c r="E83" s="67" t="s">
        <v>132</v>
      </c>
      <c r="F83" s="67" t="s">
        <v>132</v>
      </c>
      <c r="G83" s="67" t="s">
        <v>132</v>
      </c>
      <c r="H83" s="67" t="s">
        <v>132</v>
      </c>
      <c r="I83" s="67" t="s">
        <v>132</v>
      </c>
      <c r="J83" s="67" t="s">
        <v>132</v>
      </c>
      <c r="K83" s="67">
        <v>1.6184879140592501E-4</v>
      </c>
      <c r="L83" s="67" t="s">
        <v>132</v>
      </c>
      <c r="M83" s="67" t="s">
        <v>132</v>
      </c>
      <c r="N83" s="67" t="s">
        <v>132</v>
      </c>
      <c r="O83" s="67" t="s">
        <v>132</v>
      </c>
      <c r="P83" s="67" t="s">
        <v>132</v>
      </c>
      <c r="Q83" s="67" t="s">
        <v>132</v>
      </c>
      <c r="R83" s="67" t="s">
        <v>132</v>
      </c>
      <c r="S83" s="85" t="s">
        <v>132</v>
      </c>
      <c r="T83" s="89">
        <v>1.6184879140592501E-4</v>
      </c>
    </row>
    <row r="84" spans="1:20" x14ac:dyDescent="0.2">
      <c r="A84" s="36" t="s">
        <v>69</v>
      </c>
      <c r="B84" s="39" t="s">
        <v>68</v>
      </c>
      <c r="C84" s="105" t="s">
        <v>132</v>
      </c>
      <c r="D84" s="106" t="s">
        <v>132</v>
      </c>
      <c r="E84" s="66" t="s">
        <v>132</v>
      </c>
      <c r="F84" s="66">
        <v>1.0846729073007799E-5</v>
      </c>
      <c r="G84" s="66">
        <v>8.8790611869609892E-6</v>
      </c>
      <c r="H84" s="66" t="s">
        <v>132</v>
      </c>
      <c r="I84" s="66">
        <v>2.1580852642066301E-4</v>
      </c>
      <c r="J84" s="66" t="s">
        <v>132</v>
      </c>
      <c r="K84" s="66" t="s">
        <v>132</v>
      </c>
      <c r="L84" s="66" t="s">
        <v>132</v>
      </c>
      <c r="M84" s="66">
        <v>1.24946375446303E-5</v>
      </c>
      <c r="N84" s="66" t="s">
        <v>132</v>
      </c>
      <c r="O84" s="66" t="s">
        <v>132</v>
      </c>
      <c r="P84" s="66" t="s">
        <v>132</v>
      </c>
      <c r="Q84" s="66" t="s">
        <v>132</v>
      </c>
      <c r="R84" s="66" t="s">
        <v>132</v>
      </c>
      <c r="S84" s="84">
        <v>7.2789788268998103E-4</v>
      </c>
      <c r="T84" s="88">
        <v>9.7592683691524306E-4</v>
      </c>
    </row>
    <row r="85" spans="1:20" x14ac:dyDescent="0.2">
      <c r="A85" s="35" t="s">
        <v>77</v>
      </c>
      <c r="B85" s="40" t="s">
        <v>70</v>
      </c>
      <c r="C85" s="103">
        <v>2.5708946523995401E-5</v>
      </c>
      <c r="D85" s="104" t="s">
        <v>132</v>
      </c>
      <c r="E85" s="67" t="s">
        <v>132</v>
      </c>
      <c r="F85" s="67" t="s">
        <v>132</v>
      </c>
      <c r="G85" s="67" t="s">
        <v>132</v>
      </c>
      <c r="H85" s="67" t="s">
        <v>132</v>
      </c>
      <c r="I85" s="67">
        <v>5.63304964444962E-5</v>
      </c>
      <c r="J85" s="67" t="s">
        <v>132</v>
      </c>
      <c r="K85" s="67">
        <v>9.0458180543353305E-5</v>
      </c>
      <c r="L85" s="67">
        <v>7.5774361070880602E-5</v>
      </c>
      <c r="M85" s="67" t="s">
        <v>132</v>
      </c>
      <c r="N85" s="67" t="s">
        <v>132</v>
      </c>
      <c r="O85" s="67" t="s">
        <v>132</v>
      </c>
      <c r="P85" s="67" t="s">
        <v>132</v>
      </c>
      <c r="Q85" s="67" t="s">
        <v>132</v>
      </c>
      <c r="R85" s="67" t="s">
        <v>132</v>
      </c>
      <c r="S85" s="85">
        <v>2.3057303216478901E-4</v>
      </c>
      <c r="T85" s="89">
        <v>4.7884501674751449E-4</v>
      </c>
    </row>
    <row r="86" spans="1:20" x14ac:dyDescent="0.2">
      <c r="A86" s="36" t="s">
        <v>28</v>
      </c>
      <c r="B86" s="39" t="s">
        <v>70</v>
      </c>
      <c r="C86" s="105" t="s">
        <v>132</v>
      </c>
      <c r="D86" s="106" t="s">
        <v>132</v>
      </c>
      <c r="E86" s="66" t="s">
        <v>132</v>
      </c>
      <c r="F86" s="66" t="s">
        <v>132</v>
      </c>
      <c r="G86" s="66" t="s">
        <v>132</v>
      </c>
      <c r="H86" s="66" t="s">
        <v>132</v>
      </c>
      <c r="I86" s="66" t="s">
        <v>132</v>
      </c>
      <c r="J86" s="66" t="s">
        <v>132</v>
      </c>
      <c r="K86" s="66" t="s">
        <v>132</v>
      </c>
      <c r="L86" s="66" t="s">
        <v>132</v>
      </c>
      <c r="M86" s="66" t="s">
        <v>132</v>
      </c>
      <c r="N86" s="66" t="s">
        <v>132</v>
      </c>
      <c r="O86" s="66" t="s">
        <v>132</v>
      </c>
      <c r="P86" s="66" t="s">
        <v>132</v>
      </c>
      <c r="Q86" s="66" t="s">
        <v>132</v>
      </c>
      <c r="R86" s="66" t="s">
        <v>132</v>
      </c>
      <c r="S86" s="84">
        <v>1.8800997059880201E-4</v>
      </c>
      <c r="T86" s="88">
        <v>1.8800997059880201E-4</v>
      </c>
    </row>
    <row r="87" spans="1:20" x14ac:dyDescent="0.2">
      <c r="A87" s="35" t="s">
        <v>29</v>
      </c>
      <c r="B87" s="40" t="s">
        <v>70</v>
      </c>
      <c r="C87" s="103" t="s">
        <v>132</v>
      </c>
      <c r="D87" s="104" t="s">
        <v>132</v>
      </c>
      <c r="E87" s="67" t="s">
        <v>132</v>
      </c>
      <c r="F87" s="67" t="s">
        <v>132</v>
      </c>
      <c r="G87" s="67" t="s">
        <v>132</v>
      </c>
      <c r="H87" s="67" t="s">
        <v>132</v>
      </c>
      <c r="I87" s="67" t="s">
        <v>132</v>
      </c>
      <c r="J87" s="67" t="s">
        <v>132</v>
      </c>
      <c r="K87" s="67" t="s">
        <v>132</v>
      </c>
      <c r="L87" s="67" t="s">
        <v>132</v>
      </c>
      <c r="M87" s="67" t="s">
        <v>132</v>
      </c>
      <c r="N87" s="67" t="s">
        <v>132</v>
      </c>
      <c r="O87" s="67" t="s">
        <v>132</v>
      </c>
      <c r="P87" s="67" t="s">
        <v>132</v>
      </c>
      <c r="Q87" s="67" t="s">
        <v>132</v>
      </c>
      <c r="R87" s="67" t="s">
        <v>132</v>
      </c>
      <c r="S87" s="85" t="s">
        <v>132</v>
      </c>
      <c r="T87" s="89" t="s">
        <v>132</v>
      </c>
    </row>
    <row r="88" spans="1:20" x14ac:dyDescent="0.2">
      <c r="A88" s="36" t="s">
        <v>30</v>
      </c>
      <c r="B88" s="39" t="s">
        <v>70</v>
      </c>
      <c r="C88" s="105" t="s">
        <v>132</v>
      </c>
      <c r="D88" s="106" t="s">
        <v>132</v>
      </c>
      <c r="E88" s="66" t="s">
        <v>132</v>
      </c>
      <c r="F88" s="66" t="s">
        <v>132</v>
      </c>
      <c r="G88" s="66" t="s">
        <v>132</v>
      </c>
      <c r="H88" s="66">
        <v>1.15353593013571E-5</v>
      </c>
      <c r="I88" s="66">
        <v>7.2311527153385498E-6</v>
      </c>
      <c r="J88" s="66" t="s">
        <v>132</v>
      </c>
      <c r="K88" s="66">
        <v>4.5752864688410702E-5</v>
      </c>
      <c r="L88" s="66" t="s">
        <v>132</v>
      </c>
      <c r="M88" s="66" t="s">
        <v>132</v>
      </c>
      <c r="N88" s="66" t="s">
        <v>132</v>
      </c>
      <c r="O88" s="66" t="s">
        <v>132</v>
      </c>
      <c r="P88" s="66" t="s">
        <v>132</v>
      </c>
      <c r="Q88" s="66" t="s">
        <v>132</v>
      </c>
      <c r="R88" s="66" t="s">
        <v>132</v>
      </c>
      <c r="S88" s="84">
        <v>3.4750084968606602E-4</v>
      </c>
      <c r="T88" s="88">
        <v>4.1202022639117239E-4</v>
      </c>
    </row>
    <row r="89" spans="1:20" x14ac:dyDescent="0.2">
      <c r="A89" s="35" t="s">
        <v>31</v>
      </c>
      <c r="B89" s="40" t="s">
        <v>70</v>
      </c>
      <c r="C89" s="103" t="s">
        <v>132</v>
      </c>
      <c r="D89" s="104" t="s">
        <v>132</v>
      </c>
      <c r="E89" s="67" t="s">
        <v>132</v>
      </c>
      <c r="F89" s="67">
        <v>6.1318803751611502E-5</v>
      </c>
      <c r="G89" s="67" t="s">
        <v>132</v>
      </c>
      <c r="H89" s="67" t="s">
        <v>132</v>
      </c>
      <c r="I89" s="67">
        <v>6.87939675077183E-5</v>
      </c>
      <c r="J89" s="67" t="s">
        <v>132</v>
      </c>
      <c r="K89" s="67">
        <v>3.8595873984375201E-6</v>
      </c>
      <c r="L89" s="67" t="s">
        <v>132</v>
      </c>
      <c r="M89" s="67" t="s">
        <v>132</v>
      </c>
      <c r="N89" s="67" t="s">
        <v>132</v>
      </c>
      <c r="O89" s="67" t="s">
        <v>132</v>
      </c>
      <c r="P89" s="67" t="s">
        <v>132</v>
      </c>
      <c r="Q89" s="67" t="s">
        <v>132</v>
      </c>
      <c r="R89" s="67" t="s">
        <v>132</v>
      </c>
      <c r="S89" s="85">
        <v>2.9563498492737102E-4</v>
      </c>
      <c r="T89" s="89">
        <v>4.2960734358513835E-4</v>
      </c>
    </row>
    <row r="90" spans="1:20" x14ac:dyDescent="0.2">
      <c r="A90" s="36" t="s">
        <v>20</v>
      </c>
      <c r="B90" s="39" t="s">
        <v>70</v>
      </c>
      <c r="C90" s="105" t="s">
        <v>132</v>
      </c>
      <c r="D90" s="106" t="s">
        <v>132</v>
      </c>
      <c r="E90" s="66" t="s">
        <v>132</v>
      </c>
      <c r="F90" s="66" t="s">
        <v>132</v>
      </c>
      <c r="G90" s="66" t="s">
        <v>132</v>
      </c>
      <c r="H90" s="66" t="s">
        <v>132</v>
      </c>
      <c r="I90" s="66" t="s">
        <v>132</v>
      </c>
      <c r="J90" s="66" t="s">
        <v>132</v>
      </c>
      <c r="K90" s="66" t="s">
        <v>132</v>
      </c>
      <c r="L90" s="66" t="s">
        <v>132</v>
      </c>
      <c r="M90" s="66" t="s">
        <v>132</v>
      </c>
      <c r="N90" s="66" t="s">
        <v>132</v>
      </c>
      <c r="O90" s="66" t="s">
        <v>132</v>
      </c>
      <c r="P90" s="66" t="s">
        <v>132</v>
      </c>
      <c r="Q90" s="66" t="s">
        <v>132</v>
      </c>
      <c r="R90" s="66" t="s">
        <v>132</v>
      </c>
      <c r="S90" s="84" t="s">
        <v>132</v>
      </c>
      <c r="T90" s="88" t="s">
        <v>132</v>
      </c>
    </row>
    <row r="91" spans="1:20" x14ac:dyDescent="0.2">
      <c r="A91" s="35" t="s">
        <v>32</v>
      </c>
      <c r="B91" s="40" t="s">
        <v>70</v>
      </c>
      <c r="C91" s="103">
        <v>4.3799145536865396E-6</v>
      </c>
      <c r="D91" s="104" t="s">
        <v>132</v>
      </c>
      <c r="E91" s="67" t="s">
        <v>132</v>
      </c>
      <c r="F91" s="67">
        <v>8.19265327772076E-6</v>
      </c>
      <c r="G91" s="67" t="s">
        <v>132</v>
      </c>
      <c r="H91" s="67">
        <v>1.9297936992187601E-6</v>
      </c>
      <c r="I91" s="67">
        <v>7.62547744806845E-6</v>
      </c>
      <c r="J91" s="67" t="s">
        <v>132</v>
      </c>
      <c r="K91" s="67">
        <v>7.2311527153385498E-6</v>
      </c>
      <c r="L91" s="67" t="s">
        <v>132</v>
      </c>
      <c r="M91" s="67" t="s">
        <v>132</v>
      </c>
      <c r="N91" s="67" t="s">
        <v>132</v>
      </c>
      <c r="O91" s="67" t="s">
        <v>132</v>
      </c>
      <c r="P91" s="67" t="s">
        <v>132</v>
      </c>
      <c r="Q91" s="67" t="s">
        <v>132</v>
      </c>
      <c r="R91" s="67" t="s">
        <v>132</v>
      </c>
      <c r="S91" s="85">
        <v>1.74931997829781E-3</v>
      </c>
      <c r="T91" s="89">
        <v>1.778678969991843E-3</v>
      </c>
    </row>
    <row r="92" spans="1:20" x14ac:dyDescent="0.2">
      <c r="A92" s="36" t="s">
        <v>23</v>
      </c>
      <c r="B92" s="39" t="s">
        <v>71</v>
      </c>
      <c r="C92" s="105" t="s">
        <v>132</v>
      </c>
      <c r="D92" s="106" t="s">
        <v>132</v>
      </c>
      <c r="E92" s="66" t="s">
        <v>132</v>
      </c>
      <c r="F92" s="66" t="s">
        <v>132</v>
      </c>
      <c r="G92" s="66" t="s">
        <v>132</v>
      </c>
      <c r="H92" s="66" t="s">
        <v>132</v>
      </c>
      <c r="I92" s="66" t="s">
        <v>132</v>
      </c>
      <c r="J92" s="66" t="s">
        <v>132</v>
      </c>
      <c r="K92" s="66" t="s">
        <v>132</v>
      </c>
      <c r="L92" s="66">
        <v>1.48881568923564E-3</v>
      </c>
      <c r="M92" s="66" t="s">
        <v>132</v>
      </c>
      <c r="N92" s="66" t="s">
        <v>132</v>
      </c>
      <c r="O92" s="66" t="s">
        <v>132</v>
      </c>
      <c r="P92" s="66" t="s">
        <v>132</v>
      </c>
      <c r="Q92" s="66" t="s">
        <v>132</v>
      </c>
      <c r="R92" s="66" t="s">
        <v>132</v>
      </c>
      <c r="S92" s="84" t="s">
        <v>132</v>
      </c>
      <c r="T92" s="88">
        <v>1.48881568923564E-3</v>
      </c>
    </row>
    <row r="93" spans="1:20" x14ac:dyDescent="0.2">
      <c r="A93" s="35" t="s">
        <v>24</v>
      </c>
      <c r="B93" s="40" t="s">
        <v>72</v>
      </c>
      <c r="C93" s="103" t="s">
        <v>132</v>
      </c>
      <c r="D93" s="104" t="s">
        <v>132</v>
      </c>
      <c r="E93" s="67" t="s">
        <v>132</v>
      </c>
      <c r="F93" s="67" t="s">
        <v>132</v>
      </c>
      <c r="G93" s="67" t="s">
        <v>132</v>
      </c>
      <c r="H93" s="67" t="s">
        <v>132</v>
      </c>
      <c r="I93" s="67" t="s">
        <v>132</v>
      </c>
      <c r="J93" s="67" t="s">
        <v>132</v>
      </c>
      <c r="K93" s="67" t="s">
        <v>132</v>
      </c>
      <c r="L93" s="67" t="s">
        <v>132</v>
      </c>
      <c r="M93" s="67" t="s">
        <v>132</v>
      </c>
      <c r="N93" s="67" t="s">
        <v>132</v>
      </c>
      <c r="O93" s="67" t="s">
        <v>132</v>
      </c>
      <c r="P93" s="67">
        <v>2.0697671845099899E-3</v>
      </c>
      <c r="Q93" s="67" t="s">
        <v>132</v>
      </c>
      <c r="R93" s="67" t="s">
        <v>132</v>
      </c>
      <c r="S93" s="85" t="s">
        <v>132</v>
      </c>
      <c r="T93" s="89">
        <v>2.0697671845099899E-3</v>
      </c>
    </row>
    <row r="94" spans="1:20" x14ac:dyDescent="0.2">
      <c r="A94" s="36" t="s">
        <v>25</v>
      </c>
      <c r="B94" s="39" t="s">
        <v>72</v>
      </c>
      <c r="C94" s="105" t="s">
        <v>132</v>
      </c>
      <c r="D94" s="106" t="s">
        <v>132</v>
      </c>
      <c r="E94" s="66" t="s">
        <v>132</v>
      </c>
      <c r="F94" s="66" t="s">
        <v>132</v>
      </c>
      <c r="G94" s="66" t="s">
        <v>132</v>
      </c>
      <c r="H94" s="66" t="s">
        <v>132</v>
      </c>
      <c r="I94" s="66" t="s">
        <v>132</v>
      </c>
      <c r="J94" s="66" t="s">
        <v>132</v>
      </c>
      <c r="K94" s="66" t="s">
        <v>132</v>
      </c>
      <c r="L94" s="66" t="s">
        <v>132</v>
      </c>
      <c r="M94" s="66" t="s">
        <v>132</v>
      </c>
      <c r="N94" s="66" t="s">
        <v>132</v>
      </c>
      <c r="O94" s="66" t="s">
        <v>132</v>
      </c>
      <c r="P94" s="66">
        <v>1.0561205383289401E-2</v>
      </c>
      <c r="Q94" s="66" t="s">
        <v>132</v>
      </c>
      <c r="R94" s="66" t="s">
        <v>132</v>
      </c>
      <c r="S94" s="84" t="s">
        <v>132</v>
      </c>
      <c r="T94" s="88">
        <v>1.0561205383289401E-2</v>
      </c>
    </row>
    <row r="95" spans="1:20" x14ac:dyDescent="0.2">
      <c r="A95" s="35" t="s">
        <v>78</v>
      </c>
      <c r="B95" s="40" t="s">
        <v>72</v>
      </c>
      <c r="C95" s="103" t="s">
        <v>132</v>
      </c>
      <c r="D95" s="104" t="s">
        <v>132</v>
      </c>
      <c r="E95" s="67" t="s">
        <v>132</v>
      </c>
      <c r="F95" s="67" t="s">
        <v>132</v>
      </c>
      <c r="G95" s="67" t="s">
        <v>132</v>
      </c>
      <c r="H95" s="67" t="s">
        <v>132</v>
      </c>
      <c r="I95" s="67" t="s">
        <v>132</v>
      </c>
      <c r="J95" s="67" t="s">
        <v>132</v>
      </c>
      <c r="K95" s="67" t="s">
        <v>132</v>
      </c>
      <c r="L95" s="67" t="s">
        <v>132</v>
      </c>
      <c r="M95" s="67" t="s">
        <v>132</v>
      </c>
      <c r="N95" s="67" t="s">
        <v>132</v>
      </c>
      <c r="O95" s="67" t="s">
        <v>132</v>
      </c>
      <c r="P95" s="67" t="s">
        <v>132</v>
      </c>
      <c r="Q95" s="67">
        <v>1.374699782218403E-5</v>
      </c>
      <c r="R95" s="67" t="s">
        <v>132</v>
      </c>
      <c r="S95" s="85" t="s">
        <v>132</v>
      </c>
      <c r="T95" s="89">
        <v>1.374699782218403E-5</v>
      </c>
    </row>
    <row r="96" spans="1:20" x14ac:dyDescent="0.2">
      <c r="A96" s="36" t="s">
        <v>26</v>
      </c>
      <c r="B96" s="39" t="s">
        <v>72</v>
      </c>
      <c r="C96" s="105" t="s">
        <v>132</v>
      </c>
      <c r="D96" s="106" t="s">
        <v>132</v>
      </c>
      <c r="E96" s="66" t="s">
        <v>132</v>
      </c>
      <c r="F96" s="66" t="s">
        <v>132</v>
      </c>
      <c r="G96" s="66" t="s">
        <v>132</v>
      </c>
      <c r="H96" s="66" t="s">
        <v>132</v>
      </c>
      <c r="I96" s="66" t="s">
        <v>132</v>
      </c>
      <c r="J96" s="66" t="s">
        <v>132</v>
      </c>
      <c r="K96" s="66" t="s">
        <v>132</v>
      </c>
      <c r="L96" s="66" t="s">
        <v>132</v>
      </c>
      <c r="M96" s="66" t="s">
        <v>132</v>
      </c>
      <c r="N96" s="66" t="s">
        <v>132</v>
      </c>
      <c r="O96" s="66" t="s">
        <v>132</v>
      </c>
      <c r="P96" s="66">
        <v>1.73950343220814E-3</v>
      </c>
      <c r="Q96" s="66" t="s">
        <v>132</v>
      </c>
      <c r="R96" s="66" t="s">
        <v>132</v>
      </c>
      <c r="S96" s="84" t="s">
        <v>132</v>
      </c>
      <c r="T96" s="88">
        <v>1.73950343220814E-3</v>
      </c>
    </row>
    <row r="97" spans="1:20" ht="13.5" thickBot="1" x14ac:dyDescent="0.25">
      <c r="A97" s="43" t="s">
        <v>27</v>
      </c>
      <c r="B97" s="42" t="s">
        <v>72</v>
      </c>
      <c r="C97" s="107" t="s">
        <v>132</v>
      </c>
      <c r="D97" s="108" t="s">
        <v>132</v>
      </c>
      <c r="E97" s="74" t="s">
        <v>132</v>
      </c>
      <c r="F97" s="74" t="s">
        <v>132</v>
      </c>
      <c r="G97" s="74" t="s">
        <v>132</v>
      </c>
      <c r="H97" s="74" t="s">
        <v>132</v>
      </c>
      <c r="I97" s="74" t="s">
        <v>132</v>
      </c>
      <c r="J97" s="74" t="s">
        <v>132</v>
      </c>
      <c r="K97" s="74" t="s">
        <v>132</v>
      </c>
      <c r="L97" s="74" t="s">
        <v>132</v>
      </c>
      <c r="M97" s="74" t="s">
        <v>132</v>
      </c>
      <c r="N97" s="74" t="s">
        <v>132</v>
      </c>
      <c r="O97" s="74" t="s">
        <v>132</v>
      </c>
      <c r="P97" s="74" t="s">
        <v>132</v>
      </c>
      <c r="Q97" s="74">
        <v>1.5007366103828999E-3</v>
      </c>
      <c r="R97" s="74" t="s">
        <v>132</v>
      </c>
      <c r="S97" s="86" t="s">
        <v>132</v>
      </c>
      <c r="T97" s="75">
        <v>1.5007366103828999E-3</v>
      </c>
    </row>
    <row r="98" spans="1:20" ht="14.25" thickTop="1" thickBot="1" x14ac:dyDescent="0.25">
      <c r="A98" s="34" t="s">
        <v>0</v>
      </c>
      <c r="B98" s="41"/>
      <c r="C98" s="101">
        <v>2.0435191187045637E-3</v>
      </c>
      <c r="D98" s="102" t="s">
        <v>132</v>
      </c>
      <c r="E98" s="73">
        <v>5.2305931394760888E-4</v>
      </c>
      <c r="F98" s="73">
        <v>4.7120939662643682E-4</v>
      </c>
      <c r="G98" s="73">
        <v>8.8790611869609892E-6</v>
      </c>
      <c r="H98" s="73">
        <v>4.5725636905123964E-5</v>
      </c>
      <c r="I98" s="73">
        <v>6.5419679493485515E-4</v>
      </c>
      <c r="J98" s="73" t="s">
        <v>132</v>
      </c>
      <c r="K98" s="73">
        <v>3.0915057675146506E-4</v>
      </c>
      <c r="L98" s="73">
        <v>1.5645900503065207E-3</v>
      </c>
      <c r="M98" s="73">
        <v>8.4642265857145428E-5</v>
      </c>
      <c r="N98" s="73" t="s">
        <v>132</v>
      </c>
      <c r="O98" s="73" t="s">
        <v>132</v>
      </c>
      <c r="P98" s="73">
        <v>1.4370476000007532E-2</v>
      </c>
      <c r="Q98" s="73">
        <v>1.514483608205084E-3</v>
      </c>
      <c r="R98" s="73" t="s">
        <v>132</v>
      </c>
      <c r="S98" s="87">
        <v>3.7218563792052917E-3</v>
      </c>
      <c r="T98" s="90">
        <v>2.5311788202638588E-2</v>
      </c>
    </row>
  </sheetData>
  <mergeCells count="76">
    <mergeCell ref="A1:T1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6:T26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A51:T51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A76:T76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8:D98"/>
    <mergeCell ref="C93:D93"/>
    <mergeCell ref="C94:D94"/>
    <mergeCell ref="C95:D95"/>
    <mergeCell ref="C96:D96"/>
    <mergeCell ref="C97:D97"/>
  </mergeCells>
  <conditionalFormatting sqref="C5:T23">
    <cfRule type="cellIs" dxfId="21" priority="1" operator="greaterThan">
      <formula>0</formula>
    </cfRule>
  </conditionalFormatting>
  <conditionalFormatting sqref="T23">
    <cfRule type="cellIs" dxfId="20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71" orientation="landscape" r:id="rId1"/>
  <headerFooter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showGridLines="0" topLeftCell="A67" zoomScaleNormal="100" workbookViewId="0">
      <selection activeCell="A30" sqref="A30"/>
    </sheetView>
  </sheetViews>
  <sheetFormatPr defaultRowHeight="12.75" x14ac:dyDescent="0.2"/>
  <cols>
    <col min="1" max="1" width="31.7109375" style="31" bestFit="1" customWidth="1"/>
    <col min="2" max="10" width="10" style="21" customWidth="1"/>
    <col min="11" max="11" width="12.85546875" style="21" customWidth="1"/>
    <col min="12" max="15" width="10" style="21" customWidth="1"/>
    <col min="16" max="16" width="14" style="21" customWidth="1"/>
    <col min="17" max="17" width="10" style="21" customWidth="1"/>
    <col min="18" max="16384" width="9.140625" style="16"/>
  </cols>
  <sheetData>
    <row r="1" spans="1:17" ht="15" x14ac:dyDescent="0.25">
      <c r="A1" s="109" t="s">
        <v>123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7.5" customHeight="1" x14ac:dyDescent="0.2"/>
    <row r="3" spans="1:17" ht="12.75" customHeight="1" thickBot="1" x14ac:dyDescent="0.25">
      <c r="A3" s="31" t="s">
        <v>133</v>
      </c>
    </row>
    <row r="4" spans="1:17" s="5" customFormat="1" ht="38.25" customHeight="1" thickBot="1" x14ac:dyDescent="0.25">
      <c r="A4" s="25" t="s">
        <v>66</v>
      </c>
      <c r="B4" s="26" t="s">
        <v>38</v>
      </c>
      <c r="C4" s="32" t="s">
        <v>39</v>
      </c>
      <c r="D4" s="32" t="s">
        <v>40</v>
      </c>
      <c r="E4" s="32" t="s">
        <v>41</v>
      </c>
      <c r="F4" s="32" t="s">
        <v>42</v>
      </c>
      <c r="G4" s="32" t="s">
        <v>43</v>
      </c>
      <c r="H4" s="32" t="s">
        <v>44</v>
      </c>
      <c r="I4" s="32" t="s">
        <v>45</v>
      </c>
      <c r="J4" s="32" t="s">
        <v>64</v>
      </c>
      <c r="K4" s="32" t="s">
        <v>46</v>
      </c>
      <c r="L4" s="32" t="s">
        <v>7</v>
      </c>
      <c r="M4" s="32" t="s">
        <v>76</v>
      </c>
      <c r="N4" s="32" t="s">
        <v>47</v>
      </c>
      <c r="O4" s="32" t="s">
        <v>48</v>
      </c>
      <c r="P4" s="27" t="s">
        <v>49</v>
      </c>
      <c r="Q4" s="24" t="s">
        <v>0</v>
      </c>
    </row>
    <row r="5" spans="1:17" ht="12.75" customHeight="1" x14ac:dyDescent="0.2">
      <c r="A5" s="23" t="s">
        <v>8</v>
      </c>
      <c r="B5" s="53">
        <v>4.0191265689464602E-6</v>
      </c>
      <c r="C5" s="67" t="s">
        <v>132</v>
      </c>
      <c r="D5" s="67" t="s">
        <v>132</v>
      </c>
      <c r="E5" s="67">
        <v>2.0600201417628702E-3</v>
      </c>
      <c r="F5" s="67">
        <v>9.4153464793630993E-6</v>
      </c>
      <c r="G5" s="67">
        <v>1.34685655403188E-4</v>
      </c>
      <c r="H5" s="67" t="s">
        <v>132</v>
      </c>
      <c r="I5" s="67">
        <v>5.1313638312528896E-4</v>
      </c>
      <c r="J5" s="67">
        <v>1.8282088136638299E-3</v>
      </c>
      <c r="K5" s="67">
        <v>5.5515230051716698E-4</v>
      </c>
      <c r="L5" s="67">
        <v>2.76229782842316E-4</v>
      </c>
      <c r="M5" s="67">
        <v>4.1568359030934803E-5</v>
      </c>
      <c r="N5" s="67" t="s">
        <v>132</v>
      </c>
      <c r="O5" s="67" t="s">
        <v>132</v>
      </c>
      <c r="P5" s="56" t="s">
        <v>132</v>
      </c>
      <c r="Q5" s="58">
        <v>5.4224359093939054E-3</v>
      </c>
    </row>
    <row r="6" spans="1:17" ht="12.75" customHeight="1" x14ac:dyDescent="0.2">
      <c r="A6" s="22" t="s">
        <v>9</v>
      </c>
      <c r="B6" s="54">
        <v>2.9037010301117801E-3</v>
      </c>
      <c r="C6" s="66" t="s">
        <v>132</v>
      </c>
      <c r="D6" s="66">
        <v>1.7215114148329E-3</v>
      </c>
      <c r="E6" s="66">
        <v>2.7327343663108598E-3</v>
      </c>
      <c r="F6" s="66">
        <v>7.8588273325760395E-4</v>
      </c>
      <c r="G6" s="66">
        <v>3.5280622950437199E-4</v>
      </c>
      <c r="H6" s="66">
        <v>3.2381784016199998E-5</v>
      </c>
      <c r="I6" s="66">
        <v>3.0635531143734398E-4</v>
      </c>
      <c r="J6" s="66">
        <v>1.6753167917919499E-4</v>
      </c>
      <c r="K6" s="66">
        <v>2.09628891310995E-3</v>
      </c>
      <c r="L6" s="66">
        <v>2.6892046470767001E-3</v>
      </c>
      <c r="M6" s="66">
        <v>1.7014810893867299E-3</v>
      </c>
      <c r="N6" s="66" t="s">
        <v>132</v>
      </c>
      <c r="O6" s="66" t="s">
        <v>132</v>
      </c>
      <c r="P6" s="55">
        <v>4.1619826313026903E-5</v>
      </c>
      <c r="Q6" s="59">
        <v>1.5531499024536665E-2</v>
      </c>
    </row>
    <row r="7" spans="1:17" ht="12.75" customHeight="1" x14ac:dyDescent="0.2">
      <c r="A7" s="23" t="s">
        <v>10</v>
      </c>
      <c r="B7" s="53">
        <v>2.4610272289322101E-5</v>
      </c>
      <c r="C7" s="67" t="s">
        <v>132</v>
      </c>
      <c r="D7" s="67">
        <v>1.3561190264595199E-4</v>
      </c>
      <c r="E7" s="67">
        <v>9.1176099829641598E-4</v>
      </c>
      <c r="F7" s="67">
        <v>2.8708046921046202E-6</v>
      </c>
      <c r="G7" s="67">
        <v>1.15976045007326E-5</v>
      </c>
      <c r="H7" s="67">
        <v>1.5845502534307399E-5</v>
      </c>
      <c r="I7" s="67">
        <v>1.03348968915766E-5</v>
      </c>
      <c r="J7" s="67">
        <v>3.4159450648454801E-4</v>
      </c>
      <c r="K7" s="67">
        <v>4.7881897076714898E-5</v>
      </c>
      <c r="L7" s="67">
        <v>9.0600810261341698E-5</v>
      </c>
      <c r="M7" s="67">
        <v>3.71921811872793E-4</v>
      </c>
      <c r="N7" s="67">
        <v>1.83731500294696E-5</v>
      </c>
      <c r="O7" s="67">
        <v>1.8830692958726199E-5</v>
      </c>
      <c r="P7" s="56">
        <v>5.7416093842092404E-6</v>
      </c>
      <c r="Q7" s="58">
        <v>2.0075764599182138E-3</v>
      </c>
    </row>
    <row r="8" spans="1:17" ht="12.75" customHeight="1" x14ac:dyDescent="0.2">
      <c r="A8" s="22" t="s">
        <v>11</v>
      </c>
      <c r="B8" s="54">
        <v>3.0430529736308901E-5</v>
      </c>
      <c r="C8" s="66" t="s">
        <v>132</v>
      </c>
      <c r="D8" s="66">
        <v>7.00231947470948E-4</v>
      </c>
      <c r="E8" s="66">
        <v>5.2529677983098296E-4</v>
      </c>
      <c r="F8" s="66" t="s">
        <v>132</v>
      </c>
      <c r="G8" s="66" t="s">
        <v>132</v>
      </c>
      <c r="H8" s="66" t="s">
        <v>132</v>
      </c>
      <c r="I8" s="66">
        <v>1.14832187684185E-6</v>
      </c>
      <c r="J8" s="66">
        <v>3.00943564407136E-3</v>
      </c>
      <c r="K8" s="66">
        <v>8.8761709436914596E-5</v>
      </c>
      <c r="L8" s="66">
        <v>6.4545029711504101E-4</v>
      </c>
      <c r="M8" s="66">
        <v>9.3150667343904999E-4</v>
      </c>
      <c r="N8" s="66">
        <v>5.7416093842092404E-7</v>
      </c>
      <c r="O8" s="66">
        <v>4.7076732396815498E-5</v>
      </c>
      <c r="P8" s="55">
        <v>1.7996301330565899E-5</v>
      </c>
      <c r="Q8" s="59">
        <v>5.9979090976432477E-3</v>
      </c>
    </row>
    <row r="9" spans="1:17" ht="12.75" customHeight="1" x14ac:dyDescent="0.2">
      <c r="A9" s="23" t="s">
        <v>12</v>
      </c>
      <c r="B9" s="53" t="s">
        <v>132</v>
      </c>
      <c r="C9" s="67" t="s">
        <v>132</v>
      </c>
      <c r="D9" s="67" t="s">
        <v>132</v>
      </c>
      <c r="E9" s="67">
        <v>3.5826749646725601E-5</v>
      </c>
      <c r="F9" s="67">
        <v>2.2966437536836898E-6</v>
      </c>
      <c r="G9" s="67">
        <v>2.9394361314931201E-5</v>
      </c>
      <c r="H9" s="67" t="s">
        <v>132</v>
      </c>
      <c r="I9" s="67">
        <v>1.5271341595886499E-5</v>
      </c>
      <c r="J9" s="67">
        <v>3.4126251067185598E-4</v>
      </c>
      <c r="K9" s="67">
        <v>5.4545289149987699E-5</v>
      </c>
      <c r="L9" s="67">
        <v>7.5942219875960398E-4</v>
      </c>
      <c r="M9" s="67">
        <v>3.3351468641844898E-3</v>
      </c>
      <c r="N9" s="67">
        <v>8.6124140763138508E-6</v>
      </c>
      <c r="O9" s="67">
        <v>2.0266541760148501E-4</v>
      </c>
      <c r="P9" s="56">
        <v>2.44579166106213E-5</v>
      </c>
      <c r="Q9" s="58">
        <v>4.8089017073655845E-3</v>
      </c>
    </row>
    <row r="10" spans="1:17" ht="12.75" customHeight="1" x14ac:dyDescent="0.2">
      <c r="A10" s="22" t="s">
        <v>13</v>
      </c>
      <c r="B10" s="54" t="s">
        <v>132</v>
      </c>
      <c r="C10" s="66" t="s">
        <v>132</v>
      </c>
      <c r="D10" s="66" t="s">
        <v>132</v>
      </c>
      <c r="E10" s="66" t="s">
        <v>132</v>
      </c>
      <c r="F10" s="66" t="s">
        <v>132</v>
      </c>
      <c r="G10" s="66" t="s">
        <v>132</v>
      </c>
      <c r="H10" s="66" t="s">
        <v>132</v>
      </c>
      <c r="I10" s="66" t="s">
        <v>132</v>
      </c>
      <c r="J10" s="66" t="s">
        <v>132</v>
      </c>
      <c r="K10" s="66" t="s">
        <v>132</v>
      </c>
      <c r="L10" s="66">
        <v>3.0888072665565601E-5</v>
      </c>
      <c r="M10" s="66">
        <v>3.44496563052554E-6</v>
      </c>
      <c r="N10" s="66" t="s">
        <v>132</v>
      </c>
      <c r="O10" s="66" t="s">
        <v>132</v>
      </c>
      <c r="P10" s="55" t="s">
        <v>132</v>
      </c>
      <c r="Q10" s="59">
        <v>3.4333038296091143E-5</v>
      </c>
    </row>
    <row r="11" spans="1:17" ht="12.75" customHeight="1" x14ac:dyDescent="0.2">
      <c r="A11" s="23" t="s">
        <v>14</v>
      </c>
      <c r="B11" s="53" t="s">
        <v>132</v>
      </c>
      <c r="C11" s="67" t="s">
        <v>132</v>
      </c>
      <c r="D11" s="67" t="s">
        <v>132</v>
      </c>
      <c r="E11" s="67">
        <v>5.7416093842092404E-7</v>
      </c>
      <c r="F11" s="67" t="s">
        <v>132</v>
      </c>
      <c r="G11" s="67" t="s">
        <v>132</v>
      </c>
      <c r="H11" s="67" t="s">
        <v>132</v>
      </c>
      <c r="I11" s="67" t="s">
        <v>132</v>
      </c>
      <c r="J11" s="67" t="s">
        <v>132</v>
      </c>
      <c r="K11" s="67" t="s">
        <v>132</v>
      </c>
      <c r="L11" s="67">
        <v>6.3157703226301598E-6</v>
      </c>
      <c r="M11" s="67">
        <v>5.7416093842092404E-7</v>
      </c>
      <c r="N11" s="67" t="s">
        <v>132</v>
      </c>
      <c r="O11" s="67" t="s">
        <v>132</v>
      </c>
      <c r="P11" s="56" t="s">
        <v>132</v>
      </c>
      <c r="Q11" s="58">
        <v>7.464092199472007E-6</v>
      </c>
    </row>
    <row r="12" spans="1:17" ht="12.75" customHeight="1" x14ac:dyDescent="0.2">
      <c r="A12" s="22" t="s">
        <v>15</v>
      </c>
      <c r="B12" s="54" t="s">
        <v>132</v>
      </c>
      <c r="C12" s="66" t="s">
        <v>132</v>
      </c>
      <c r="D12" s="66" t="s">
        <v>132</v>
      </c>
      <c r="E12" s="66" t="s">
        <v>132</v>
      </c>
      <c r="F12" s="66" t="s">
        <v>132</v>
      </c>
      <c r="G12" s="66" t="s">
        <v>132</v>
      </c>
      <c r="H12" s="66" t="s">
        <v>132</v>
      </c>
      <c r="I12" s="66" t="s">
        <v>132</v>
      </c>
      <c r="J12" s="66">
        <v>4.4436931446189302E-5</v>
      </c>
      <c r="K12" s="66" t="s">
        <v>132</v>
      </c>
      <c r="L12" s="66">
        <v>2.9536983782141898E-4</v>
      </c>
      <c r="M12" s="66">
        <v>7.2111042222707794E-5</v>
      </c>
      <c r="N12" s="66" t="s">
        <v>132</v>
      </c>
      <c r="O12" s="66" t="s">
        <v>132</v>
      </c>
      <c r="P12" s="55" t="s">
        <v>132</v>
      </c>
      <c r="Q12" s="59">
        <v>4.1191781149031606E-4</v>
      </c>
    </row>
    <row r="13" spans="1:17" ht="12.75" customHeight="1" x14ac:dyDescent="0.2">
      <c r="A13" s="23" t="s">
        <v>16</v>
      </c>
      <c r="B13" s="53" t="s">
        <v>132</v>
      </c>
      <c r="C13" s="67" t="s">
        <v>132</v>
      </c>
      <c r="D13" s="67" t="s">
        <v>132</v>
      </c>
      <c r="E13" s="67" t="s">
        <v>132</v>
      </c>
      <c r="F13" s="67" t="s">
        <v>132</v>
      </c>
      <c r="G13" s="67" t="s">
        <v>132</v>
      </c>
      <c r="H13" s="67" t="s">
        <v>132</v>
      </c>
      <c r="I13" s="67" t="s">
        <v>132</v>
      </c>
      <c r="J13" s="67" t="s">
        <v>132</v>
      </c>
      <c r="K13" s="67" t="s">
        <v>132</v>
      </c>
      <c r="L13" s="67" t="s">
        <v>132</v>
      </c>
      <c r="M13" s="67" t="s">
        <v>132</v>
      </c>
      <c r="N13" s="67" t="s">
        <v>132</v>
      </c>
      <c r="O13" s="67" t="s">
        <v>132</v>
      </c>
      <c r="P13" s="56" t="s">
        <v>132</v>
      </c>
      <c r="Q13" s="58" t="s">
        <v>132</v>
      </c>
    </row>
    <row r="14" spans="1:17" ht="12.75" customHeight="1" x14ac:dyDescent="0.2">
      <c r="A14" s="22" t="s">
        <v>17</v>
      </c>
      <c r="B14" s="54" t="s">
        <v>132</v>
      </c>
      <c r="C14" s="66" t="s">
        <v>132</v>
      </c>
      <c r="D14" s="66" t="s">
        <v>132</v>
      </c>
      <c r="E14" s="66">
        <v>2.8133885982625301E-5</v>
      </c>
      <c r="F14" s="66">
        <v>2.0095632844732299E-5</v>
      </c>
      <c r="G14" s="66" t="s">
        <v>132</v>
      </c>
      <c r="H14" s="66" t="s">
        <v>132</v>
      </c>
      <c r="I14" s="66" t="s">
        <v>132</v>
      </c>
      <c r="J14" s="66">
        <v>4.7076732396815497E-6</v>
      </c>
      <c r="K14" s="66">
        <v>2.0324404309360599E-5</v>
      </c>
      <c r="L14" s="66">
        <v>1.01503171260789E-4</v>
      </c>
      <c r="M14" s="66">
        <v>3.32991021515634E-5</v>
      </c>
      <c r="N14" s="66" t="s">
        <v>132</v>
      </c>
      <c r="O14" s="66">
        <v>9.4153464793630993E-6</v>
      </c>
      <c r="P14" s="55">
        <v>7.4640921994720104E-6</v>
      </c>
      <c r="Q14" s="59">
        <v>2.2494330846758724E-4</v>
      </c>
    </row>
    <row r="15" spans="1:17" ht="12.75" customHeight="1" x14ac:dyDescent="0.2">
      <c r="A15" s="23" t="s">
        <v>79</v>
      </c>
      <c r="B15" s="53" t="s">
        <v>132</v>
      </c>
      <c r="C15" s="67" t="s">
        <v>132</v>
      </c>
      <c r="D15" s="67" t="s">
        <v>132</v>
      </c>
      <c r="E15" s="67">
        <v>4.19137485047274E-5</v>
      </c>
      <c r="F15" s="67" t="s">
        <v>132</v>
      </c>
      <c r="G15" s="67">
        <v>5.8559951165234003E-6</v>
      </c>
      <c r="H15" s="67" t="s">
        <v>132</v>
      </c>
      <c r="I15" s="67" t="s">
        <v>132</v>
      </c>
      <c r="J15" s="67">
        <v>1.4123019719044601E-5</v>
      </c>
      <c r="K15" s="67">
        <v>7.4640921994720104E-6</v>
      </c>
      <c r="L15" s="67" t="s">
        <v>132</v>
      </c>
      <c r="M15" s="67">
        <v>4.7076732396815497E-6</v>
      </c>
      <c r="N15" s="67" t="s">
        <v>132</v>
      </c>
      <c r="O15" s="67" t="s">
        <v>132</v>
      </c>
      <c r="P15" s="56">
        <v>9.4153464793630993E-6</v>
      </c>
      <c r="Q15" s="58">
        <v>8.3479875258812061E-5</v>
      </c>
    </row>
    <row r="16" spans="1:17" ht="12.75" customHeight="1" x14ac:dyDescent="0.2">
      <c r="A16" s="22" t="s">
        <v>80</v>
      </c>
      <c r="B16" s="54" t="s">
        <v>132</v>
      </c>
      <c r="C16" s="66" t="s">
        <v>132</v>
      </c>
      <c r="D16" s="66" t="s">
        <v>132</v>
      </c>
      <c r="E16" s="66">
        <v>1.8830692958726199E-5</v>
      </c>
      <c r="F16" s="66" t="s">
        <v>132</v>
      </c>
      <c r="G16" s="66">
        <v>5.7416093842092404E-7</v>
      </c>
      <c r="H16" s="66" t="s">
        <v>132</v>
      </c>
      <c r="I16" s="66" t="s">
        <v>132</v>
      </c>
      <c r="J16" s="66" t="s">
        <v>132</v>
      </c>
      <c r="K16" s="66" t="s">
        <v>132</v>
      </c>
      <c r="L16" s="66">
        <v>9.9897306454690301E-5</v>
      </c>
      <c r="M16" s="66">
        <v>2.4204928633420099E-4</v>
      </c>
      <c r="N16" s="66">
        <v>8.0382531378929306E-6</v>
      </c>
      <c r="O16" s="66" t="s">
        <v>132</v>
      </c>
      <c r="P16" s="55">
        <v>5.0407312295026902E-5</v>
      </c>
      <c r="Q16" s="59">
        <v>4.1979701211895825E-4</v>
      </c>
    </row>
    <row r="17" spans="1:17" ht="12.75" customHeight="1" x14ac:dyDescent="0.2">
      <c r="A17" s="23" t="s">
        <v>18</v>
      </c>
      <c r="B17" s="53" t="s">
        <v>132</v>
      </c>
      <c r="C17" s="67" t="s">
        <v>132</v>
      </c>
      <c r="D17" s="67" t="s">
        <v>132</v>
      </c>
      <c r="E17" s="67">
        <v>4.7076732396815498E-5</v>
      </c>
      <c r="F17" s="67" t="s">
        <v>132</v>
      </c>
      <c r="G17" s="67" t="s">
        <v>132</v>
      </c>
      <c r="H17" s="67" t="s">
        <v>132</v>
      </c>
      <c r="I17" s="67" t="s">
        <v>132</v>
      </c>
      <c r="J17" s="67" t="s">
        <v>132</v>
      </c>
      <c r="K17" s="67" t="s">
        <v>132</v>
      </c>
      <c r="L17" s="67" t="s">
        <v>132</v>
      </c>
      <c r="M17" s="67" t="s">
        <v>132</v>
      </c>
      <c r="N17" s="67" t="s">
        <v>132</v>
      </c>
      <c r="O17" s="67" t="s">
        <v>132</v>
      </c>
      <c r="P17" s="56" t="s">
        <v>132</v>
      </c>
      <c r="Q17" s="58">
        <v>4.7076732396815498E-5</v>
      </c>
    </row>
    <row r="18" spans="1:17" ht="12.75" customHeight="1" x14ac:dyDescent="0.2">
      <c r="A18" s="22" t="s">
        <v>78</v>
      </c>
      <c r="B18" s="54" t="s">
        <v>132</v>
      </c>
      <c r="C18" s="66" t="s">
        <v>132</v>
      </c>
      <c r="D18" s="66" t="s">
        <v>132</v>
      </c>
      <c r="E18" s="66">
        <v>4.6279850000175999E-4</v>
      </c>
      <c r="F18" s="66" t="s">
        <v>132</v>
      </c>
      <c r="G18" s="66" t="s">
        <v>132</v>
      </c>
      <c r="H18" s="66" t="s">
        <v>132</v>
      </c>
      <c r="I18" s="66">
        <v>1.13259226428633E-6</v>
      </c>
      <c r="J18" s="66" t="s">
        <v>132</v>
      </c>
      <c r="K18" s="66">
        <v>4.7076732396815497E-6</v>
      </c>
      <c r="L18" s="66">
        <v>2.3538366198407698E-5</v>
      </c>
      <c r="M18" s="66" t="s">
        <v>132</v>
      </c>
      <c r="N18" s="66" t="s">
        <v>132</v>
      </c>
      <c r="O18" s="66" t="s">
        <v>132</v>
      </c>
      <c r="P18" s="55" t="s">
        <v>132</v>
      </c>
      <c r="Q18" s="59">
        <v>4.9217713170413555E-4</v>
      </c>
    </row>
    <row r="19" spans="1:17" ht="12.75" customHeight="1" x14ac:dyDescent="0.2">
      <c r="A19" s="23" t="s">
        <v>33</v>
      </c>
      <c r="B19" s="53">
        <v>9.3850867572089504E-4</v>
      </c>
      <c r="C19" s="67">
        <v>3.4682495171630399E-3</v>
      </c>
      <c r="D19" s="67">
        <v>7.06150985952232E-5</v>
      </c>
      <c r="E19" s="67">
        <v>2.4284808802953499E-3</v>
      </c>
      <c r="F19" s="67" t="s">
        <v>132</v>
      </c>
      <c r="G19" s="67">
        <v>2.6846068950156298E-4</v>
      </c>
      <c r="H19" s="67">
        <v>1.1018059117223499E-3</v>
      </c>
      <c r="I19" s="67">
        <v>4.0396461594181697E-3</v>
      </c>
      <c r="J19" s="67">
        <v>7.0157555665966594E-5</v>
      </c>
      <c r="K19" s="67">
        <v>8.1066613495964194E-5</v>
      </c>
      <c r="L19" s="67">
        <v>6.3223298769173901E-3</v>
      </c>
      <c r="M19" s="67">
        <v>7.2293836166725496E-4</v>
      </c>
      <c r="N19" s="67" t="s">
        <v>132</v>
      </c>
      <c r="O19" s="67" t="s">
        <v>132</v>
      </c>
      <c r="P19" s="56">
        <v>1.25167084575761E-4</v>
      </c>
      <c r="Q19" s="58">
        <v>1.9637426424738928E-2</v>
      </c>
    </row>
    <row r="20" spans="1:17" ht="12.75" customHeight="1" x14ac:dyDescent="0.2">
      <c r="A20" s="22" t="s">
        <v>34</v>
      </c>
      <c r="B20" s="54">
        <v>1.68904018183086E-4</v>
      </c>
      <c r="C20" s="66">
        <v>1.2339326677544801E-3</v>
      </c>
      <c r="D20" s="66" t="s">
        <v>132</v>
      </c>
      <c r="E20" s="66">
        <v>5.7416093842092404E-6</v>
      </c>
      <c r="F20" s="66" t="s">
        <v>132</v>
      </c>
      <c r="G20" s="66">
        <v>1.6076506275785898E-5</v>
      </c>
      <c r="H20" s="66">
        <v>1.6739910408180301E-3</v>
      </c>
      <c r="I20" s="66">
        <v>1.4066942991312599E-4</v>
      </c>
      <c r="J20" s="66" t="s">
        <v>132</v>
      </c>
      <c r="K20" s="66" t="s">
        <v>132</v>
      </c>
      <c r="L20" s="66">
        <v>3.9042943812622799E-5</v>
      </c>
      <c r="M20" s="66">
        <v>1.9176082432518799E-5</v>
      </c>
      <c r="N20" s="66" t="s">
        <v>132</v>
      </c>
      <c r="O20" s="66" t="s">
        <v>132</v>
      </c>
      <c r="P20" s="55">
        <v>1.4928184398944E-5</v>
      </c>
      <c r="Q20" s="59">
        <v>3.3124624829728023E-3</v>
      </c>
    </row>
    <row r="21" spans="1:17" ht="12.75" customHeight="1" x14ac:dyDescent="0.2">
      <c r="A21" s="23" t="s">
        <v>35</v>
      </c>
      <c r="B21" s="53">
        <v>7.5840409590223696E-4</v>
      </c>
      <c r="C21" s="67">
        <v>3.23372236222641E-3</v>
      </c>
      <c r="D21" s="67" t="s">
        <v>132</v>
      </c>
      <c r="E21" s="67">
        <v>4.42424757012552E-4</v>
      </c>
      <c r="F21" s="67" t="s">
        <v>132</v>
      </c>
      <c r="G21" s="67" t="s">
        <v>132</v>
      </c>
      <c r="H21" s="67">
        <v>1.9624195837709101E-4</v>
      </c>
      <c r="I21" s="67">
        <v>2.5330373363799098E-4</v>
      </c>
      <c r="J21" s="67" t="s">
        <v>132</v>
      </c>
      <c r="K21" s="67" t="s">
        <v>132</v>
      </c>
      <c r="L21" s="67">
        <v>1.86247986405607E-4</v>
      </c>
      <c r="M21" s="67">
        <v>5.7530479574406499E-5</v>
      </c>
      <c r="N21" s="67" t="s">
        <v>132</v>
      </c>
      <c r="O21" s="67" t="s">
        <v>132</v>
      </c>
      <c r="P21" s="56" t="s">
        <v>132</v>
      </c>
      <c r="Q21" s="58">
        <v>5.1278753731362941E-3</v>
      </c>
    </row>
    <row r="22" spans="1:17" ht="12.75" customHeight="1" x14ac:dyDescent="0.2">
      <c r="A22" s="22" t="s">
        <v>36</v>
      </c>
      <c r="B22" s="54" t="s">
        <v>132</v>
      </c>
      <c r="C22" s="66">
        <v>8.6124140763138508E-6</v>
      </c>
      <c r="D22" s="66">
        <v>1.55023453373649E-5</v>
      </c>
      <c r="E22" s="66">
        <v>4.0191265689464602E-6</v>
      </c>
      <c r="F22" s="66" t="s">
        <v>132</v>
      </c>
      <c r="G22" s="66" t="s">
        <v>132</v>
      </c>
      <c r="H22" s="66">
        <v>8.4856968600282299E-5</v>
      </c>
      <c r="I22" s="66">
        <v>2.30682685574946E-4</v>
      </c>
      <c r="J22" s="66" t="s">
        <v>132</v>
      </c>
      <c r="K22" s="66" t="s">
        <v>132</v>
      </c>
      <c r="L22" s="66">
        <v>1.8830692958726199E-5</v>
      </c>
      <c r="M22" s="66">
        <v>2.0784179515467402E-5</v>
      </c>
      <c r="N22" s="66" t="s">
        <v>132</v>
      </c>
      <c r="O22" s="66" t="s">
        <v>132</v>
      </c>
      <c r="P22" s="55" t="s">
        <v>132</v>
      </c>
      <c r="Q22" s="59">
        <v>3.8328841263204715E-4</v>
      </c>
    </row>
    <row r="23" spans="1:17" ht="12.75" customHeight="1" x14ac:dyDescent="0.2">
      <c r="A23" s="23" t="s">
        <v>6</v>
      </c>
      <c r="B23" s="53">
        <v>1.16583165812397E-3</v>
      </c>
      <c r="C23" s="67">
        <v>7.9025872170840805E-4</v>
      </c>
      <c r="D23" s="67">
        <v>2.7557492767354201E-5</v>
      </c>
      <c r="E23" s="67">
        <v>4.8099676423481798E-4</v>
      </c>
      <c r="F23" s="67">
        <v>1.22861511714677E-5</v>
      </c>
      <c r="G23" s="67">
        <v>1.6924969744075801E-4</v>
      </c>
      <c r="H23" s="67" t="s">
        <v>132</v>
      </c>
      <c r="I23" s="67">
        <v>1.5845502534307399E-5</v>
      </c>
      <c r="J23" s="67">
        <v>2.0553175773989E-5</v>
      </c>
      <c r="K23" s="67">
        <v>3.9155097268086903E-5</v>
      </c>
      <c r="L23" s="67">
        <v>3.1789903026985998E-4</v>
      </c>
      <c r="M23" s="67">
        <v>5.07521213768384E-4</v>
      </c>
      <c r="N23" s="67" t="s">
        <v>132</v>
      </c>
      <c r="O23" s="67" t="s">
        <v>132</v>
      </c>
      <c r="P23" s="56">
        <v>1.9404853897147099E-5</v>
      </c>
      <c r="Q23" s="58">
        <v>3.5665593589585503E-3</v>
      </c>
    </row>
    <row r="24" spans="1:17" ht="12.75" customHeight="1" thickBot="1" x14ac:dyDescent="0.25">
      <c r="A24" s="9" t="s">
        <v>37</v>
      </c>
      <c r="B24" s="10" t="s">
        <v>132</v>
      </c>
      <c r="C24" s="6">
        <v>2.4688920352099699E-5</v>
      </c>
      <c r="D24" s="6" t="s">
        <v>132</v>
      </c>
      <c r="E24" s="6">
        <v>1.6408671354866999E-4</v>
      </c>
      <c r="F24" s="6" t="s">
        <v>132</v>
      </c>
      <c r="G24" s="6">
        <v>3.01185630714705E-4</v>
      </c>
      <c r="H24" s="6" t="s">
        <v>132</v>
      </c>
      <c r="I24" s="6">
        <v>5.17844056364971E-5</v>
      </c>
      <c r="J24" s="6">
        <v>7.8689201068217604E-4</v>
      </c>
      <c r="K24" s="6">
        <v>4.4046680590211098E-4</v>
      </c>
      <c r="L24" s="6">
        <v>9.8269923743218197E-3</v>
      </c>
      <c r="M24" s="6">
        <v>4.8065137476102502E-4</v>
      </c>
      <c r="N24" s="6" t="s">
        <v>132</v>
      </c>
      <c r="O24" s="6">
        <v>1.7521784601274499E-4</v>
      </c>
      <c r="P24" s="7">
        <v>2.2966437536836898E-6</v>
      </c>
      <c r="Q24" s="11">
        <v>1.2254262725685531E-2</v>
      </c>
    </row>
    <row r="25" spans="1:17" ht="12.75" customHeight="1" thickTop="1" thickBot="1" x14ac:dyDescent="0.25">
      <c r="A25" s="8" t="s">
        <v>0</v>
      </c>
      <c r="B25" s="13">
        <v>5.9944094066365456E-3</v>
      </c>
      <c r="C25" s="73">
        <v>8.7594646032807515E-3</v>
      </c>
      <c r="D25" s="73">
        <v>2.6710302016497421E-3</v>
      </c>
      <c r="E25" s="73">
        <v>1.0390716607675479E-2</v>
      </c>
      <c r="F25" s="73">
        <v>8.3284731219895533E-4</v>
      </c>
      <c r="G25" s="73">
        <v>1.28988653071098E-3</v>
      </c>
      <c r="H25" s="73">
        <v>3.1051231660682607E-3</v>
      </c>
      <c r="I25" s="73">
        <v>5.5793107639062626E-3</v>
      </c>
      <c r="J25" s="73">
        <v>6.6289035205978359E-3</v>
      </c>
      <c r="K25" s="73">
        <v>3.435814795705411E-3</v>
      </c>
      <c r="L25" s="73">
        <v>2.172976316546453E-2</v>
      </c>
      <c r="M25" s="73">
        <v>8.5464127201501545E-3</v>
      </c>
      <c r="N25" s="73">
        <v>3.5597978182097305E-5</v>
      </c>
      <c r="O25" s="73">
        <v>4.5320603544913478E-4</v>
      </c>
      <c r="P25" s="15">
        <v>3.1889917123782116E-4</v>
      </c>
      <c r="Q25" s="12">
        <v>7.9771385978913964E-2</v>
      </c>
    </row>
    <row r="28" spans="1:17" ht="15" x14ac:dyDescent="0.25">
      <c r="A28" s="100" t="s">
        <v>96</v>
      </c>
      <c r="B28" s="100" t="s">
        <v>132</v>
      </c>
      <c r="C28" s="100" t="s">
        <v>132</v>
      </c>
      <c r="D28" s="100" t="s">
        <v>132</v>
      </c>
      <c r="E28" s="100" t="s">
        <v>132</v>
      </c>
      <c r="F28" s="100" t="s">
        <v>132</v>
      </c>
      <c r="G28" s="100" t="s">
        <v>132</v>
      </c>
      <c r="H28" s="100" t="s">
        <v>132</v>
      </c>
      <c r="I28" s="100" t="s">
        <v>132</v>
      </c>
      <c r="J28" s="100" t="s">
        <v>132</v>
      </c>
      <c r="K28" s="100" t="s">
        <v>132</v>
      </c>
      <c r="L28" s="100" t="s">
        <v>132</v>
      </c>
      <c r="M28" s="100" t="s">
        <v>132</v>
      </c>
      <c r="N28" s="100" t="s">
        <v>132</v>
      </c>
      <c r="O28" s="100" t="s">
        <v>132</v>
      </c>
      <c r="P28" s="100" t="s">
        <v>132</v>
      </c>
      <c r="Q28" s="100" t="s">
        <v>132</v>
      </c>
    </row>
    <row r="29" spans="1:17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13.5" thickBot="1" x14ac:dyDescent="0.25">
      <c r="A30" s="31" t="s">
        <v>133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39" thickBot="1" x14ac:dyDescent="0.25">
      <c r="A31" s="25" t="s">
        <v>88</v>
      </c>
      <c r="B31" s="26" t="s">
        <v>38</v>
      </c>
      <c r="C31" s="32" t="s">
        <v>39</v>
      </c>
      <c r="D31" s="32" t="s">
        <v>40</v>
      </c>
      <c r="E31" s="32" t="s">
        <v>41</v>
      </c>
      <c r="F31" s="32" t="s">
        <v>42</v>
      </c>
      <c r="G31" s="32" t="s">
        <v>43</v>
      </c>
      <c r="H31" s="32" t="s">
        <v>44</v>
      </c>
      <c r="I31" s="32" t="s">
        <v>45</v>
      </c>
      <c r="J31" s="32" t="s">
        <v>64</v>
      </c>
      <c r="K31" s="32" t="s">
        <v>46</v>
      </c>
      <c r="L31" s="32" t="s">
        <v>7</v>
      </c>
      <c r="M31" s="32" t="s">
        <v>76</v>
      </c>
      <c r="N31" s="32" t="s">
        <v>47</v>
      </c>
      <c r="O31" s="32" t="s">
        <v>48</v>
      </c>
      <c r="P31" s="27" t="s">
        <v>49</v>
      </c>
      <c r="Q31" s="24" t="s">
        <v>0</v>
      </c>
    </row>
    <row r="32" spans="1:17" x14ac:dyDescent="0.2">
      <c r="A32" s="23" t="s">
        <v>8</v>
      </c>
      <c r="B32" s="53" t="s">
        <v>132</v>
      </c>
      <c r="C32" s="67" t="s">
        <v>132</v>
      </c>
      <c r="D32" s="67" t="s">
        <v>132</v>
      </c>
      <c r="E32" s="67">
        <v>1.3174678907159701E-3</v>
      </c>
      <c r="F32" s="67">
        <v>1.0667756200129301E-5</v>
      </c>
      <c r="G32" s="67">
        <v>1.4934858680180999E-4</v>
      </c>
      <c r="H32" s="67" t="s">
        <v>132</v>
      </c>
      <c r="I32" s="67">
        <v>5.8139271290704505E-4</v>
      </c>
      <c r="J32" s="67">
        <v>1.44548096511752E-3</v>
      </c>
      <c r="K32" s="67">
        <v>3.9470697940478301E-4</v>
      </c>
      <c r="L32" s="67">
        <v>2.9869717360361998E-4</v>
      </c>
      <c r="M32" s="67">
        <v>1.0667756200129301E-5</v>
      </c>
      <c r="N32" s="67" t="s">
        <v>132</v>
      </c>
      <c r="O32" s="67" t="s">
        <v>132</v>
      </c>
      <c r="P32" s="56" t="s">
        <v>132</v>
      </c>
      <c r="Q32" s="58">
        <v>4.2084298209510065E-3</v>
      </c>
    </row>
    <row r="33" spans="1:17" x14ac:dyDescent="0.2">
      <c r="A33" s="22" t="s">
        <v>9</v>
      </c>
      <c r="B33" s="54">
        <v>2.7149439529329002E-3</v>
      </c>
      <c r="C33" s="66" t="s">
        <v>132</v>
      </c>
      <c r="D33" s="66">
        <v>1.30680013451584E-3</v>
      </c>
      <c r="E33" s="66">
        <v>1.5361568928186199E-3</v>
      </c>
      <c r="F33" s="66">
        <v>4.00040857504848E-4</v>
      </c>
      <c r="G33" s="66">
        <v>3.0936492980374898E-4</v>
      </c>
      <c r="H33" s="66">
        <v>1.0667756200129301E-5</v>
      </c>
      <c r="I33" s="66">
        <v>2.0268736780245601E-4</v>
      </c>
      <c r="J33" s="66">
        <v>1.01343683901228E-4</v>
      </c>
      <c r="K33" s="66">
        <v>1.04544010761267E-3</v>
      </c>
      <c r="L33" s="66">
        <v>1.9735348970239199E-3</v>
      </c>
      <c r="M33" s="66">
        <v>1.1467837915139E-3</v>
      </c>
      <c r="N33" s="66" t="s">
        <v>132</v>
      </c>
      <c r="O33" s="66" t="s">
        <v>132</v>
      </c>
      <c r="P33" s="55">
        <v>1.60016343001939E-5</v>
      </c>
      <c r="Q33" s="59">
        <v>1.0763766005930453E-2</v>
      </c>
    </row>
    <row r="34" spans="1:17" x14ac:dyDescent="0.2">
      <c r="A34" s="23" t="s">
        <v>10</v>
      </c>
      <c r="B34" s="53" t="s">
        <v>132</v>
      </c>
      <c r="C34" s="67" t="s">
        <v>132</v>
      </c>
      <c r="D34" s="67">
        <v>5.8672659100710997E-5</v>
      </c>
      <c r="E34" s="67">
        <v>6.98738031108467E-4</v>
      </c>
      <c r="F34" s="67" t="s">
        <v>132</v>
      </c>
      <c r="G34" s="67">
        <v>5.3338781000646401E-6</v>
      </c>
      <c r="H34" s="67">
        <v>1.60016343001939E-5</v>
      </c>
      <c r="I34" s="67" t="s">
        <v>132</v>
      </c>
      <c r="J34" s="67">
        <v>3.73371467004525E-4</v>
      </c>
      <c r="K34" s="67">
        <v>3.7337146700452498E-5</v>
      </c>
      <c r="L34" s="67">
        <v>2.1335512400258499E-5</v>
      </c>
      <c r="M34" s="67">
        <v>2.3469063640284399E-4</v>
      </c>
      <c r="N34" s="67" t="s">
        <v>132</v>
      </c>
      <c r="O34" s="67">
        <v>2.1335512400258499E-5</v>
      </c>
      <c r="P34" s="56" t="s">
        <v>132</v>
      </c>
      <c r="Q34" s="58">
        <v>1.4668164775177748E-3</v>
      </c>
    </row>
    <row r="35" spans="1:17" x14ac:dyDescent="0.2">
      <c r="A35" s="22" t="s">
        <v>11</v>
      </c>
      <c r="B35" s="54" t="s">
        <v>132</v>
      </c>
      <c r="C35" s="66" t="s">
        <v>132</v>
      </c>
      <c r="D35" s="66">
        <v>1.7601797730213301E-4</v>
      </c>
      <c r="E35" s="66">
        <v>3.4670207650420098E-4</v>
      </c>
      <c r="F35" s="66" t="s">
        <v>132</v>
      </c>
      <c r="G35" s="66" t="s">
        <v>132</v>
      </c>
      <c r="H35" s="66" t="s">
        <v>132</v>
      </c>
      <c r="I35" s="66" t="s">
        <v>132</v>
      </c>
      <c r="J35" s="66">
        <v>1.52015525851842E-3</v>
      </c>
      <c r="K35" s="66">
        <v>4.26710248005171E-5</v>
      </c>
      <c r="L35" s="66">
        <v>2.56026148803103E-4</v>
      </c>
      <c r="M35" s="66">
        <v>5.7605883480698098E-4</v>
      </c>
      <c r="N35" s="66" t="s">
        <v>132</v>
      </c>
      <c r="O35" s="66">
        <v>5.3338781000646401E-5</v>
      </c>
      <c r="P35" s="55">
        <v>1.0667756200129301E-5</v>
      </c>
      <c r="Q35" s="59">
        <v>2.9816378579361311E-3</v>
      </c>
    </row>
    <row r="36" spans="1:17" x14ac:dyDescent="0.2">
      <c r="A36" s="23" t="s">
        <v>12</v>
      </c>
      <c r="B36" s="53" t="s">
        <v>132</v>
      </c>
      <c r="C36" s="67" t="s">
        <v>132</v>
      </c>
      <c r="D36" s="67" t="s">
        <v>132</v>
      </c>
      <c r="E36" s="67">
        <v>1.0667756200129301E-5</v>
      </c>
      <c r="F36" s="67" t="s">
        <v>132</v>
      </c>
      <c r="G36" s="67">
        <v>3.20032686003878E-5</v>
      </c>
      <c r="H36" s="67" t="s">
        <v>132</v>
      </c>
      <c r="I36" s="67">
        <v>1.60016343001939E-5</v>
      </c>
      <c r="J36" s="67">
        <v>2.2402288020271501E-4</v>
      </c>
      <c r="K36" s="67" t="s">
        <v>132</v>
      </c>
      <c r="L36" s="67">
        <v>5.54723322406722E-4</v>
      </c>
      <c r="M36" s="67">
        <v>1.8401879445223001E-3</v>
      </c>
      <c r="N36" s="67" t="s">
        <v>132</v>
      </c>
      <c r="O36" s="67">
        <v>1.6001634300193899E-4</v>
      </c>
      <c r="P36" s="56">
        <v>1.60016343001939E-5</v>
      </c>
      <c r="Q36" s="58">
        <v>2.8536247835345809E-3</v>
      </c>
    </row>
    <row r="37" spans="1:17" x14ac:dyDescent="0.2">
      <c r="A37" s="22" t="s">
        <v>13</v>
      </c>
      <c r="B37" s="54" t="s">
        <v>132</v>
      </c>
      <c r="C37" s="66" t="s">
        <v>132</v>
      </c>
      <c r="D37" s="66" t="s">
        <v>132</v>
      </c>
      <c r="E37" s="66" t="s">
        <v>132</v>
      </c>
      <c r="F37" s="66" t="s">
        <v>132</v>
      </c>
      <c r="G37" s="66" t="s">
        <v>132</v>
      </c>
      <c r="H37" s="66" t="s">
        <v>132</v>
      </c>
      <c r="I37" s="66" t="s">
        <v>132</v>
      </c>
      <c r="J37" s="66" t="s">
        <v>132</v>
      </c>
      <c r="K37" s="66" t="s">
        <v>132</v>
      </c>
      <c r="L37" s="66">
        <v>2.1335512400258499E-5</v>
      </c>
      <c r="M37" s="66" t="s">
        <v>132</v>
      </c>
      <c r="N37" s="66" t="s">
        <v>132</v>
      </c>
      <c r="O37" s="66" t="s">
        <v>132</v>
      </c>
      <c r="P37" s="55" t="s">
        <v>132</v>
      </c>
      <c r="Q37" s="59">
        <v>2.1335512400258499E-5</v>
      </c>
    </row>
    <row r="38" spans="1:17" x14ac:dyDescent="0.2">
      <c r="A38" s="23" t="s">
        <v>14</v>
      </c>
      <c r="B38" s="53" t="s">
        <v>132</v>
      </c>
      <c r="C38" s="67" t="s">
        <v>132</v>
      </c>
      <c r="D38" s="67" t="s">
        <v>132</v>
      </c>
      <c r="E38" s="67" t="s">
        <v>132</v>
      </c>
      <c r="F38" s="67" t="s">
        <v>132</v>
      </c>
      <c r="G38" s="67" t="s">
        <v>132</v>
      </c>
      <c r="H38" s="67" t="s">
        <v>132</v>
      </c>
      <c r="I38" s="67" t="s">
        <v>132</v>
      </c>
      <c r="J38" s="67" t="s">
        <v>132</v>
      </c>
      <c r="K38" s="67" t="s">
        <v>132</v>
      </c>
      <c r="L38" s="67" t="s">
        <v>132</v>
      </c>
      <c r="M38" s="67" t="s">
        <v>132</v>
      </c>
      <c r="N38" s="67" t="s">
        <v>132</v>
      </c>
      <c r="O38" s="67" t="s">
        <v>132</v>
      </c>
      <c r="P38" s="56" t="s">
        <v>132</v>
      </c>
      <c r="Q38" s="58" t="s">
        <v>132</v>
      </c>
    </row>
    <row r="39" spans="1:17" x14ac:dyDescent="0.2">
      <c r="A39" s="22" t="s">
        <v>15</v>
      </c>
      <c r="B39" s="54" t="s">
        <v>132</v>
      </c>
      <c r="C39" s="66" t="s">
        <v>132</v>
      </c>
      <c r="D39" s="66" t="s">
        <v>132</v>
      </c>
      <c r="E39" s="66" t="s">
        <v>132</v>
      </c>
      <c r="F39" s="66" t="s">
        <v>132</v>
      </c>
      <c r="G39" s="66" t="s">
        <v>132</v>
      </c>
      <c r="H39" s="66" t="s">
        <v>132</v>
      </c>
      <c r="I39" s="66" t="s">
        <v>132</v>
      </c>
      <c r="J39" s="66">
        <v>3.7337146700452498E-5</v>
      </c>
      <c r="K39" s="66" t="s">
        <v>132</v>
      </c>
      <c r="L39" s="66">
        <v>1.7601797730213301E-4</v>
      </c>
      <c r="M39" s="66">
        <v>4.26710248005171E-5</v>
      </c>
      <c r="N39" s="66" t="s">
        <v>132</v>
      </c>
      <c r="O39" s="66" t="s">
        <v>132</v>
      </c>
      <c r="P39" s="55" t="s">
        <v>132</v>
      </c>
      <c r="Q39" s="59">
        <v>2.5602614880310262E-4</v>
      </c>
    </row>
    <row r="40" spans="1:17" x14ac:dyDescent="0.2">
      <c r="A40" s="23" t="s">
        <v>16</v>
      </c>
      <c r="B40" s="53" t="s">
        <v>132</v>
      </c>
      <c r="C40" s="67" t="s">
        <v>132</v>
      </c>
      <c r="D40" s="67" t="s">
        <v>132</v>
      </c>
      <c r="E40" s="67" t="s">
        <v>132</v>
      </c>
      <c r="F40" s="67" t="s">
        <v>132</v>
      </c>
      <c r="G40" s="67" t="s">
        <v>132</v>
      </c>
      <c r="H40" s="67" t="s">
        <v>132</v>
      </c>
      <c r="I40" s="67" t="s">
        <v>132</v>
      </c>
      <c r="J40" s="67" t="s">
        <v>132</v>
      </c>
      <c r="K40" s="67" t="s">
        <v>132</v>
      </c>
      <c r="L40" s="67" t="s">
        <v>132</v>
      </c>
      <c r="M40" s="67" t="s">
        <v>132</v>
      </c>
      <c r="N40" s="67" t="s">
        <v>132</v>
      </c>
      <c r="O40" s="67" t="s">
        <v>132</v>
      </c>
      <c r="P40" s="56" t="s">
        <v>132</v>
      </c>
      <c r="Q40" s="58" t="s">
        <v>132</v>
      </c>
    </row>
    <row r="41" spans="1:17" x14ac:dyDescent="0.2">
      <c r="A41" s="22" t="s">
        <v>17</v>
      </c>
      <c r="B41" s="54" t="s">
        <v>132</v>
      </c>
      <c r="C41" s="66" t="s">
        <v>132</v>
      </c>
      <c r="D41" s="66" t="s">
        <v>132</v>
      </c>
      <c r="E41" s="66" t="s">
        <v>132</v>
      </c>
      <c r="F41" s="66" t="s">
        <v>132</v>
      </c>
      <c r="G41" s="66" t="s">
        <v>132</v>
      </c>
      <c r="H41" s="66" t="s">
        <v>132</v>
      </c>
      <c r="I41" s="66" t="s">
        <v>132</v>
      </c>
      <c r="J41" s="66">
        <v>5.3338781000646401E-6</v>
      </c>
      <c r="K41" s="66">
        <v>1.0667756200129301E-5</v>
      </c>
      <c r="L41" s="66">
        <v>1.01343683901228E-4</v>
      </c>
      <c r="M41" s="66">
        <v>2.66693905003232E-5</v>
      </c>
      <c r="N41" s="66" t="s">
        <v>132</v>
      </c>
      <c r="O41" s="66">
        <v>1.0667756200129301E-5</v>
      </c>
      <c r="P41" s="55" t="s">
        <v>132</v>
      </c>
      <c r="Q41" s="59">
        <v>1.5468246490187444E-4</v>
      </c>
    </row>
    <row r="42" spans="1:17" x14ac:dyDescent="0.2">
      <c r="A42" s="23" t="s">
        <v>89</v>
      </c>
      <c r="B42" s="53" t="s">
        <v>132</v>
      </c>
      <c r="C42" s="67" t="s">
        <v>132</v>
      </c>
      <c r="D42" s="67" t="s">
        <v>132</v>
      </c>
      <c r="E42" s="67" t="s">
        <v>132</v>
      </c>
      <c r="F42" s="67" t="s">
        <v>132</v>
      </c>
      <c r="G42" s="67" t="s">
        <v>132</v>
      </c>
      <c r="H42" s="67" t="s">
        <v>132</v>
      </c>
      <c r="I42" s="67" t="s">
        <v>132</v>
      </c>
      <c r="J42" s="67" t="s">
        <v>132</v>
      </c>
      <c r="K42" s="67" t="s">
        <v>132</v>
      </c>
      <c r="L42" s="67" t="s">
        <v>132</v>
      </c>
      <c r="M42" s="67" t="s">
        <v>132</v>
      </c>
      <c r="N42" s="67" t="s">
        <v>132</v>
      </c>
      <c r="O42" s="67" t="s">
        <v>132</v>
      </c>
      <c r="P42" s="56" t="s">
        <v>132</v>
      </c>
      <c r="Q42" s="58" t="s">
        <v>132</v>
      </c>
    </row>
    <row r="43" spans="1:17" x14ac:dyDescent="0.2">
      <c r="A43" s="22" t="s">
        <v>79</v>
      </c>
      <c r="B43" s="54" t="s">
        <v>132</v>
      </c>
      <c r="C43" s="66" t="s">
        <v>132</v>
      </c>
      <c r="D43" s="66" t="s">
        <v>132</v>
      </c>
      <c r="E43" s="66" t="s">
        <v>132</v>
      </c>
      <c r="F43" s="66" t="s">
        <v>132</v>
      </c>
      <c r="G43" s="66">
        <v>5.3338781000646401E-6</v>
      </c>
      <c r="H43" s="66" t="s">
        <v>132</v>
      </c>
      <c r="I43" s="66" t="s">
        <v>132</v>
      </c>
      <c r="J43" s="66">
        <v>1.60016343001939E-5</v>
      </c>
      <c r="K43" s="66" t="s">
        <v>132</v>
      </c>
      <c r="L43" s="66" t="s">
        <v>132</v>
      </c>
      <c r="M43" s="66">
        <v>5.3338781000646401E-6</v>
      </c>
      <c r="N43" s="66" t="s">
        <v>132</v>
      </c>
      <c r="O43" s="66" t="s">
        <v>132</v>
      </c>
      <c r="P43" s="55">
        <v>1.0667756200129301E-5</v>
      </c>
      <c r="Q43" s="59">
        <v>3.7337146700452484E-5</v>
      </c>
    </row>
    <row r="44" spans="1:17" x14ac:dyDescent="0.2">
      <c r="A44" s="23" t="s">
        <v>80</v>
      </c>
      <c r="B44" s="53" t="s">
        <v>132</v>
      </c>
      <c r="C44" s="67" t="s">
        <v>132</v>
      </c>
      <c r="D44" s="67" t="s">
        <v>132</v>
      </c>
      <c r="E44" s="67">
        <v>2.1335512400258499E-5</v>
      </c>
      <c r="F44" s="67" t="s">
        <v>132</v>
      </c>
      <c r="G44" s="67" t="s">
        <v>132</v>
      </c>
      <c r="H44" s="67" t="s">
        <v>132</v>
      </c>
      <c r="I44" s="67" t="s">
        <v>132</v>
      </c>
      <c r="J44" s="67" t="s">
        <v>132</v>
      </c>
      <c r="K44" s="67" t="s">
        <v>132</v>
      </c>
      <c r="L44" s="67">
        <v>8.0008171500969605E-5</v>
      </c>
      <c r="M44" s="67">
        <v>2.0268736780245601E-4</v>
      </c>
      <c r="N44" s="67" t="s">
        <v>132</v>
      </c>
      <c r="O44" s="67" t="s">
        <v>132</v>
      </c>
      <c r="P44" s="56">
        <v>4.8004902900581703E-5</v>
      </c>
      <c r="Q44" s="58">
        <v>3.5203595460426581E-4</v>
      </c>
    </row>
    <row r="45" spans="1:17" x14ac:dyDescent="0.2">
      <c r="A45" s="22" t="s">
        <v>18</v>
      </c>
      <c r="B45" s="54" t="s">
        <v>132</v>
      </c>
      <c r="C45" s="66" t="s">
        <v>132</v>
      </c>
      <c r="D45" s="66" t="s">
        <v>132</v>
      </c>
      <c r="E45" s="66">
        <v>5.3338781000646401E-5</v>
      </c>
      <c r="F45" s="66" t="s">
        <v>132</v>
      </c>
      <c r="G45" s="66" t="s">
        <v>132</v>
      </c>
      <c r="H45" s="66" t="s">
        <v>132</v>
      </c>
      <c r="I45" s="66" t="s">
        <v>132</v>
      </c>
      <c r="J45" s="66" t="s">
        <v>132</v>
      </c>
      <c r="K45" s="66" t="s">
        <v>132</v>
      </c>
      <c r="L45" s="66" t="s">
        <v>132</v>
      </c>
      <c r="M45" s="66" t="s">
        <v>132</v>
      </c>
      <c r="N45" s="66" t="s">
        <v>132</v>
      </c>
      <c r="O45" s="66" t="s">
        <v>132</v>
      </c>
      <c r="P45" s="55" t="s">
        <v>132</v>
      </c>
      <c r="Q45" s="59">
        <v>5.3338781000646401E-5</v>
      </c>
    </row>
    <row r="46" spans="1:17" x14ac:dyDescent="0.2">
      <c r="A46" s="23" t="s">
        <v>78</v>
      </c>
      <c r="B46" s="53" t="s">
        <v>132</v>
      </c>
      <c r="C46" s="67" t="s">
        <v>132</v>
      </c>
      <c r="D46" s="67" t="s">
        <v>132</v>
      </c>
      <c r="E46" s="67">
        <v>5.1205229760620502E-4</v>
      </c>
      <c r="F46" s="67" t="s">
        <v>132</v>
      </c>
      <c r="G46" s="67" t="s">
        <v>132</v>
      </c>
      <c r="H46" s="67" t="s">
        <v>132</v>
      </c>
      <c r="I46" s="67" t="s">
        <v>132</v>
      </c>
      <c r="J46" s="67" t="s">
        <v>132</v>
      </c>
      <c r="K46" s="67">
        <v>5.3338781000646401E-6</v>
      </c>
      <c r="L46" s="67">
        <v>2.66693905003232E-5</v>
      </c>
      <c r="M46" s="67" t="s">
        <v>132</v>
      </c>
      <c r="N46" s="67" t="s">
        <v>132</v>
      </c>
      <c r="O46" s="67" t="s">
        <v>132</v>
      </c>
      <c r="P46" s="56" t="s">
        <v>132</v>
      </c>
      <c r="Q46" s="58">
        <v>5.4405556620659278E-4</v>
      </c>
    </row>
    <row r="47" spans="1:17" x14ac:dyDescent="0.2">
      <c r="A47" s="22" t="s">
        <v>33</v>
      </c>
      <c r="B47" s="54">
        <v>8.5342049601034198E-4</v>
      </c>
      <c r="C47" s="66">
        <v>3.06697990753717E-3</v>
      </c>
      <c r="D47" s="66">
        <v>8.0008171500969605E-5</v>
      </c>
      <c r="E47" s="66">
        <v>1.20012257251454E-3</v>
      </c>
      <c r="F47" s="66" t="s">
        <v>132</v>
      </c>
      <c r="G47" s="66">
        <v>2.0268736780245601E-4</v>
      </c>
      <c r="H47" s="66">
        <v>1.0667756200129301E-4</v>
      </c>
      <c r="I47" s="66">
        <v>2.2082255334267601E-3</v>
      </c>
      <c r="J47" s="66">
        <v>5.8672659100710997E-5</v>
      </c>
      <c r="K47" s="66">
        <v>5.8672659100710997E-5</v>
      </c>
      <c r="L47" s="66">
        <v>3.9470697940478302E-3</v>
      </c>
      <c r="M47" s="66">
        <v>5.3872168810652796E-4</v>
      </c>
      <c r="N47" s="66" t="s">
        <v>132</v>
      </c>
      <c r="O47" s="66" t="s">
        <v>132</v>
      </c>
      <c r="P47" s="55" t="s">
        <v>132</v>
      </c>
      <c r="Q47" s="59">
        <v>1.2321258411149311E-2</v>
      </c>
    </row>
    <row r="48" spans="1:17" x14ac:dyDescent="0.2">
      <c r="A48" s="23" t="s">
        <v>34</v>
      </c>
      <c r="B48" s="53">
        <v>3.7337146700452498E-5</v>
      </c>
      <c r="C48" s="67">
        <v>6.4539925010782101E-4</v>
      </c>
      <c r="D48" s="67" t="s">
        <v>132</v>
      </c>
      <c r="E48" s="67" t="s">
        <v>132</v>
      </c>
      <c r="F48" s="67" t="s">
        <v>132</v>
      </c>
      <c r="G48" s="67" t="s">
        <v>132</v>
      </c>
      <c r="H48" s="67">
        <v>3.8937310130471802E-4</v>
      </c>
      <c r="I48" s="67" t="s">
        <v>132</v>
      </c>
      <c r="J48" s="67" t="s">
        <v>132</v>
      </c>
      <c r="K48" s="67" t="s">
        <v>132</v>
      </c>
      <c r="L48" s="67" t="s">
        <v>132</v>
      </c>
      <c r="M48" s="67">
        <v>1.0667756200129301E-5</v>
      </c>
      <c r="N48" s="67" t="s">
        <v>132</v>
      </c>
      <c r="O48" s="67" t="s">
        <v>132</v>
      </c>
      <c r="P48" s="56" t="s">
        <v>132</v>
      </c>
      <c r="Q48" s="58">
        <v>1.0827772543131207E-3</v>
      </c>
    </row>
    <row r="49" spans="1:17" x14ac:dyDescent="0.2">
      <c r="A49" s="22" t="s">
        <v>35</v>
      </c>
      <c r="B49" s="54">
        <v>7.4674293400904903E-4</v>
      </c>
      <c r="C49" s="66">
        <v>2.17088838672631E-3</v>
      </c>
      <c r="D49" s="66" t="s">
        <v>132</v>
      </c>
      <c r="E49" s="66">
        <v>2.8269553930342599E-4</v>
      </c>
      <c r="F49" s="66" t="s">
        <v>132</v>
      </c>
      <c r="G49" s="66" t="s">
        <v>132</v>
      </c>
      <c r="H49" s="66">
        <v>7.46742934009049E-5</v>
      </c>
      <c r="I49" s="66">
        <v>1.92019611602327E-4</v>
      </c>
      <c r="J49" s="66" t="s">
        <v>132</v>
      </c>
      <c r="K49" s="66" t="s">
        <v>132</v>
      </c>
      <c r="L49" s="66">
        <v>1.1734531820142199E-4</v>
      </c>
      <c r="M49" s="66">
        <v>5.3338781000646401E-6</v>
      </c>
      <c r="N49" s="66" t="s">
        <v>132</v>
      </c>
      <c r="O49" s="66" t="s">
        <v>132</v>
      </c>
      <c r="P49" s="55" t="s">
        <v>132</v>
      </c>
      <c r="Q49" s="59">
        <v>3.5896999613435031E-3</v>
      </c>
    </row>
    <row r="50" spans="1:17" x14ac:dyDescent="0.2">
      <c r="A50" s="23" t="s">
        <v>36</v>
      </c>
      <c r="B50" s="53" t="s">
        <v>132</v>
      </c>
      <c r="C50" s="67" t="s">
        <v>132</v>
      </c>
      <c r="D50" s="67" t="s">
        <v>132</v>
      </c>
      <c r="E50" s="67" t="s">
        <v>132</v>
      </c>
      <c r="F50" s="67" t="s">
        <v>132</v>
      </c>
      <c r="G50" s="67" t="s">
        <v>132</v>
      </c>
      <c r="H50" s="67">
        <v>4.8004902900581703E-5</v>
      </c>
      <c r="I50" s="67">
        <v>1.81351855402198E-4</v>
      </c>
      <c r="J50" s="67" t="s">
        <v>132</v>
      </c>
      <c r="K50" s="67" t="s">
        <v>132</v>
      </c>
      <c r="L50" s="67">
        <v>2.1335512400258499E-5</v>
      </c>
      <c r="M50" s="67">
        <v>5.3338781000646401E-6</v>
      </c>
      <c r="N50" s="67" t="s">
        <v>132</v>
      </c>
      <c r="O50" s="67" t="s">
        <v>132</v>
      </c>
      <c r="P50" s="56" t="s">
        <v>132</v>
      </c>
      <c r="Q50" s="58">
        <v>2.5602614880310289E-4</v>
      </c>
    </row>
    <row r="51" spans="1:17" x14ac:dyDescent="0.2">
      <c r="A51" s="22" t="s">
        <v>6</v>
      </c>
      <c r="B51" s="54">
        <v>1.20012257251454E-3</v>
      </c>
      <c r="C51" s="66">
        <v>8.1608334930988896E-4</v>
      </c>
      <c r="D51" s="66">
        <v>2.66693905003232E-5</v>
      </c>
      <c r="E51" s="66">
        <v>4.21376369905106E-4</v>
      </c>
      <c r="F51" s="66">
        <v>1.0667756200129301E-5</v>
      </c>
      <c r="G51" s="66">
        <v>1.5468246490187501E-4</v>
      </c>
      <c r="H51" s="66" t="s">
        <v>132</v>
      </c>
      <c r="I51" s="66">
        <v>1.60016343001939E-5</v>
      </c>
      <c r="J51" s="66">
        <v>2.1335512400258499E-5</v>
      </c>
      <c r="K51" s="66">
        <v>3.20032686003878E-5</v>
      </c>
      <c r="L51" s="66">
        <v>2.8802941740349E-4</v>
      </c>
      <c r="M51" s="66">
        <v>4.4271188230536498E-4</v>
      </c>
      <c r="N51" s="66" t="s">
        <v>132</v>
      </c>
      <c r="O51" s="66" t="s">
        <v>132</v>
      </c>
      <c r="P51" s="55">
        <v>2.1335512400258499E-5</v>
      </c>
      <c r="Q51" s="59">
        <v>3.4510191307418154E-3</v>
      </c>
    </row>
    <row r="52" spans="1:17" ht="13.5" thickBot="1" x14ac:dyDescent="0.25">
      <c r="A52" s="23" t="s">
        <v>37</v>
      </c>
      <c r="B52" s="53" t="s">
        <v>132</v>
      </c>
      <c r="C52" s="67" t="s">
        <v>132</v>
      </c>
      <c r="D52" s="67" t="s">
        <v>132</v>
      </c>
      <c r="E52" s="67">
        <v>1.01343683901228E-4</v>
      </c>
      <c r="F52" s="67" t="s">
        <v>132</v>
      </c>
      <c r="G52" s="67">
        <v>2.29356758302779E-4</v>
      </c>
      <c r="H52" s="67" t="s">
        <v>132</v>
      </c>
      <c r="I52" s="67">
        <v>5.8672659100710997E-5</v>
      </c>
      <c r="J52" s="67">
        <v>5.0138454140607601E-4</v>
      </c>
      <c r="K52" s="67">
        <v>3.5203595460426602E-4</v>
      </c>
      <c r="L52" s="67">
        <v>6.8433656023829297E-3</v>
      </c>
      <c r="M52" s="67">
        <v>4.3204412610523598E-4</v>
      </c>
      <c r="N52" s="67" t="s">
        <v>132</v>
      </c>
      <c r="O52" s="67">
        <v>1.92019611602327E-4</v>
      </c>
      <c r="P52" s="56" t="s">
        <v>132</v>
      </c>
      <c r="Q52" s="58">
        <v>8.7102229374055543E-3</v>
      </c>
    </row>
    <row r="53" spans="1:17" ht="14.25" thickTop="1" thickBot="1" x14ac:dyDescent="0.25">
      <c r="A53" s="28" t="s">
        <v>0</v>
      </c>
      <c r="B53" s="61">
        <v>5.5525671021672838E-3</v>
      </c>
      <c r="C53" s="62">
        <v>6.6993508936811896E-3</v>
      </c>
      <c r="D53" s="62">
        <v>1.6481683329199767E-3</v>
      </c>
      <c r="E53" s="62">
        <v>6.5019974039787964E-3</v>
      </c>
      <c r="F53" s="62">
        <v>4.2137636990510665E-4</v>
      </c>
      <c r="G53" s="62">
        <v>1.088111132413186E-3</v>
      </c>
      <c r="H53" s="62">
        <v>6.453992501078208E-4</v>
      </c>
      <c r="I53" s="62">
        <v>3.4563530088418848E-3</v>
      </c>
      <c r="J53" s="62">
        <v>4.3044396267521651E-3</v>
      </c>
      <c r="K53" s="62">
        <v>1.9788687751239814E-3</v>
      </c>
      <c r="L53" s="62">
        <v>1.4726837434278467E-2</v>
      </c>
      <c r="M53" s="62">
        <v>5.5205638335669022E-3</v>
      </c>
      <c r="N53" s="62" t="s">
        <v>132</v>
      </c>
      <c r="O53" s="62">
        <v>4.3737800420530026E-4</v>
      </c>
      <c r="P53" s="63">
        <v>1.2267919630148659E-4</v>
      </c>
      <c r="Q53" s="29">
        <v>5.3104090364243531E-2</v>
      </c>
    </row>
    <row r="56" spans="1:17" ht="15" x14ac:dyDescent="0.25">
      <c r="A56" s="100" t="s">
        <v>98</v>
      </c>
      <c r="B56" s="100" t="s">
        <v>132</v>
      </c>
      <c r="C56" s="100" t="s">
        <v>132</v>
      </c>
      <c r="D56" s="100" t="s">
        <v>132</v>
      </c>
      <c r="E56" s="100" t="s">
        <v>132</v>
      </c>
      <c r="F56" s="100" t="s">
        <v>132</v>
      </c>
      <c r="G56" s="100" t="s">
        <v>132</v>
      </c>
      <c r="H56" s="100" t="s">
        <v>132</v>
      </c>
      <c r="I56" s="100" t="s">
        <v>132</v>
      </c>
      <c r="J56" s="100" t="s">
        <v>132</v>
      </c>
      <c r="K56" s="100" t="s">
        <v>132</v>
      </c>
      <c r="L56" s="100" t="s">
        <v>132</v>
      </c>
      <c r="M56" s="100" t="s">
        <v>132</v>
      </c>
      <c r="N56" s="100" t="s">
        <v>132</v>
      </c>
      <c r="O56" s="100" t="s">
        <v>132</v>
      </c>
      <c r="P56" s="100" t="s">
        <v>132</v>
      </c>
      <c r="Q56" s="100" t="s">
        <v>132</v>
      </c>
    </row>
    <row r="57" spans="1:17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ht="13.5" thickBot="1" x14ac:dyDescent="0.25">
      <c r="A58" s="31" t="s">
        <v>133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39" thickBot="1" x14ac:dyDescent="0.25">
      <c r="A59" s="25" t="s">
        <v>88</v>
      </c>
      <c r="B59" s="26" t="s">
        <v>38</v>
      </c>
      <c r="C59" s="32" t="s">
        <v>39</v>
      </c>
      <c r="D59" s="32" t="s">
        <v>40</v>
      </c>
      <c r="E59" s="32" t="s">
        <v>41</v>
      </c>
      <c r="F59" s="32" t="s">
        <v>42</v>
      </c>
      <c r="G59" s="32" t="s">
        <v>43</v>
      </c>
      <c r="H59" s="32" t="s">
        <v>44</v>
      </c>
      <c r="I59" s="32" t="s">
        <v>45</v>
      </c>
      <c r="J59" s="32" t="s">
        <v>64</v>
      </c>
      <c r="K59" s="32" t="s">
        <v>46</v>
      </c>
      <c r="L59" s="32" t="s">
        <v>7</v>
      </c>
      <c r="M59" s="32" t="s">
        <v>76</v>
      </c>
      <c r="N59" s="32" t="s">
        <v>47</v>
      </c>
      <c r="O59" s="32" t="s">
        <v>48</v>
      </c>
      <c r="P59" s="27" t="s">
        <v>49</v>
      </c>
      <c r="Q59" s="24" t="s">
        <v>0</v>
      </c>
    </row>
    <row r="60" spans="1:17" x14ac:dyDescent="0.2">
      <c r="A60" s="23" t="s">
        <v>8</v>
      </c>
      <c r="B60" s="53">
        <v>6.8911352239508494E-5</v>
      </c>
      <c r="C60" s="67" t="s">
        <v>132</v>
      </c>
      <c r="D60" s="67" t="s">
        <v>132</v>
      </c>
      <c r="E60" s="67">
        <v>1.3733048053444901E-2</v>
      </c>
      <c r="F60" s="67" t="s">
        <v>132</v>
      </c>
      <c r="G60" s="67">
        <v>4.9222394456791799E-5</v>
      </c>
      <c r="H60" s="67" t="s">
        <v>132</v>
      </c>
      <c r="I60" s="67" t="s">
        <v>132</v>
      </c>
      <c r="J60" s="67">
        <v>8.8698754811138893E-3</v>
      </c>
      <c r="K60" s="67">
        <v>2.9434991885161502E-3</v>
      </c>
      <c r="L60" s="67">
        <v>1.77200620044451E-4</v>
      </c>
      <c r="M60" s="67">
        <v>5.5129081791606795E-4</v>
      </c>
      <c r="N60" s="67" t="s">
        <v>132</v>
      </c>
      <c r="O60" s="67" t="s">
        <v>132</v>
      </c>
      <c r="P60" s="56" t="s">
        <v>132</v>
      </c>
      <c r="Q60" s="58">
        <v>2.6393047907731761E-2</v>
      </c>
    </row>
    <row r="61" spans="1:17" x14ac:dyDescent="0.2">
      <c r="A61" s="22" t="s">
        <v>9</v>
      </c>
      <c r="B61" s="54">
        <v>8.6237635088299291E-3</v>
      </c>
      <c r="C61" s="66" t="s">
        <v>132</v>
      </c>
      <c r="D61" s="66">
        <v>9.5274866710566199E-3</v>
      </c>
      <c r="E61" s="66">
        <v>2.30065471691045E-2</v>
      </c>
      <c r="F61" s="66">
        <v>7.2849143796051901E-3</v>
      </c>
      <c r="G61" s="66">
        <v>1.30931569255066E-3</v>
      </c>
      <c r="H61" s="66">
        <v>3.9377915565433499E-4</v>
      </c>
      <c r="I61" s="66">
        <v>2.1854743138815598E-3</v>
      </c>
      <c r="J61" s="66">
        <v>1.3388491292247401E-3</v>
      </c>
      <c r="K61" s="66">
        <v>2.0122114853936501E-2</v>
      </c>
      <c r="L61" s="66">
        <v>1.6243390170741299E-2</v>
      </c>
      <c r="M61" s="66">
        <v>1.1527884781780601E-2</v>
      </c>
      <c r="N61" s="66" t="s">
        <v>132</v>
      </c>
      <c r="O61" s="66" t="s">
        <v>132</v>
      </c>
      <c r="P61" s="55">
        <v>3.9377915565433499E-4</v>
      </c>
      <c r="Q61" s="59">
        <v>0.10195729898202027</v>
      </c>
    </row>
    <row r="62" spans="1:17" x14ac:dyDescent="0.2">
      <c r="A62" s="23" t="s">
        <v>10</v>
      </c>
      <c r="B62" s="53">
        <v>3.2486780341482599E-4</v>
      </c>
      <c r="C62" s="67" t="s">
        <v>132</v>
      </c>
      <c r="D62" s="67">
        <v>1.43729391813832E-3</v>
      </c>
      <c r="E62" s="67">
        <v>4.9813063190273302E-3</v>
      </c>
      <c r="F62" s="67">
        <v>4.9222394456791799E-5</v>
      </c>
      <c r="G62" s="67">
        <v>1.1813374669629999E-4</v>
      </c>
      <c r="H62" s="67">
        <v>2.95334366740751E-5</v>
      </c>
      <c r="I62" s="67">
        <v>1.77200620044451E-4</v>
      </c>
      <c r="J62" s="67">
        <v>2.0673405671852601E-4</v>
      </c>
      <c r="K62" s="67">
        <v>2.55956451175317E-4</v>
      </c>
      <c r="L62" s="67">
        <v>1.2305598614198001E-3</v>
      </c>
      <c r="M62" s="67">
        <v>2.8253654418198501E-3</v>
      </c>
      <c r="N62" s="67">
        <v>3.1502332452346799E-4</v>
      </c>
      <c r="O62" s="67" t="s">
        <v>132</v>
      </c>
      <c r="P62" s="56">
        <v>9.8444788913583706E-5</v>
      </c>
      <c r="Q62" s="58">
        <v>1.2049642163022638E-2</v>
      </c>
    </row>
    <row r="63" spans="1:17" x14ac:dyDescent="0.2">
      <c r="A63" s="22" t="s">
        <v>11</v>
      </c>
      <c r="B63" s="54">
        <v>5.2175738124199302E-4</v>
      </c>
      <c r="C63" s="66" t="s">
        <v>132</v>
      </c>
      <c r="D63" s="66">
        <v>9.3424104678990899E-3</v>
      </c>
      <c r="E63" s="66">
        <v>3.72121302093346E-3</v>
      </c>
      <c r="F63" s="66" t="s">
        <v>132</v>
      </c>
      <c r="G63" s="66" t="s">
        <v>132</v>
      </c>
      <c r="H63" s="66" t="s">
        <v>132</v>
      </c>
      <c r="I63" s="66">
        <v>1.9688957782716699E-5</v>
      </c>
      <c r="J63" s="66">
        <v>2.8361943686003501E-2</v>
      </c>
      <c r="K63" s="66">
        <v>8.7615862133089497E-4</v>
      </c>
      <c r="L63" s="66">
        <v>7.1923762780264199E-3</v>
      </c>
      <c r="M63" s="66">
        <v>7.1569361540175297E-3</v>
      </c>
      <c r="N63" s="66">
        <v>9.8444788913583696E-6</v>
      </c>
      <c r="O63" s="66" t="s">
        <v>132</v>
      </c>
      <c r="P63" s="55">
        <v>1.0828926780494201E-4</v>
      </c>
      <c r="Q63" s="59">
        <v>5.7310618313931909E-2</v>
      </c>
    </row>
    <row r="64" spans="1:17" x14ac:dyDescent="0.2">
      <c r="A64" s="23" t="s">
        <v>12</v>
      </c>
      <c r="B64" s="53" t="s">
        <v>132</v>
      </c>
      <c r="C64" s="67" t="s">
        <v>132</v>
      </c>
      <c r="D64" s="67" t="s">
        <v>132</v>
      </c>
      <c r="E64" s="67">
        <v>4.5284602900248501E-4</v>
      </c>
      <c r="F64" s="67">
        <v>3.9377915565433499E-5</v>
      </c>
      <c r="G64" s="67">
        <v>1.9688957782716699E-5</v>
      </c>
      <c r="H64" s="67" t="s">
        <v>132</v>
      </c>
      <c r="I64" s="67">
        <v>1.9688957782716699E-5</v>
      </c>
      <c r="J64" s="67">
        <v>2.4611197228395902E-3</v>
      </c>
      <c r="K64" s="67">
        <v>9.3522549467904505E-4</v>
      </c>
      <c r="L64" s="67">
        <v>4.5875271633730001E-3</v>
      </c>
      <c r="M64" s="67">
        <v>2.93365470962479E-2</v>
      </c>
      <c r="N64" s="67">
        <v>1.4766718337037499E-4</v>
      </c>
      <c r="O64" s="67">
        <v>1.0533592413753501E-3</v>
      </c>
      <c r="P64" s="56">
        <v>1.77200620044451E-4</v>
      </c>
      <c r="Q64" s="58">
        <v>3.9230248382063057E-2</v>
      </c>
    </row>
    <row r="65" spans="1:17" x14ac:dyDescent="0.2">
      <c r="A65" s="22" t="s">
        <v>13</v>
      </c>
      <c r="B65" s="54" t="s">
        <v>132</v>
      </c>
      <c r="C65" s="66" t="s">
        <v>132</v>
      </c>
      <c r="D65" s="66" t="s">
        <v>132</v>
      </c>
      <c r="E65" s="66" t="s">
        <v>132</v>
      </c>
      <c r="F65" s="66" t="s">
        <v>132</v>
      </c>
      <c r="G65" s="66" t="s">
        <v>132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>
        <v>2.0673405671852601E-4</v>
      </c>
      <c r="M65" s="66">
        <v>5.9066873348150201E-5</v>
      </c>
      <c r="N65" s="66" t="s">
        <v>132</v>
      </c>
      <c r="O65" s="66" t="s">
        <v>132</v>
      </c>
      <c r="P65" s="55" t="s">
        <v>132</v>
      </c>
      <c r="Q65" s="59">
        <v>2.6580093006667619E-4</v>
      </c>
    </row>
    <row r="66" spans="1:17" x14ac:dyDescent="0.2">
      <c r="A66" s="23" t="s">
        <v>14</v>
      </c>
      <c r="B66" s="53" t="s">
        <v>132</v>
      </c>
      <c r="C66" s="67" t="s">
        <v>132</v>
      </c>
      <c r="D66" s="67" t="s">
        <v>132</v>
      </c>
      <c r="E66" s="67">
        <v>9.8444788913583696E-6</v>
      </c>
      <c r="F66" s="67" t="s">
        <v>132</v>
      </c>
      <c r="G66" s="67" t="s">
        <v>132</v>
      </c>
      <c r="H66" s="67" t="s">
        <v>132</v>
      </c>
      <c r="I66" s="67" t="s">
        <v>132</v>
      </c>
      <c r="J66" s="67" t="s">
        <v>132</v>
      </c>
      <c r="K66" s="67" t="s">
        <v>132</v>
      </c>
      <c r="L66" s="67">
        <v>1.0828926780494201E-4</v>
      </c>
      <c r="M66" s="67">
        <v>9.8444788913583696E-6</v>
      </c>
      <c r="N66" s="67" t="s">
        <v>132</v>
      </c>
      <c r="O66" s="67" t="s">
        <v>132</v>
      </c>
      <c r="P66" s="56" t="s">
        <v>132</v>
      </c>
      <c r="Q66" s="58">
        <v>1.2797822558765874E-4</v>
      </c>
    </row>
    <row r="67" spans="1:17" x14ac:dyDescent="0.2">
      <c r="A67" s="22" t="s">
        <v>15</v>
      </c>
      <c r="B67" s="54" t="s">
        <v>132</v>
      </c>
      <c r="C67" s="66" t="s">
        <v>132</v>
      </c>
      <c r="D67" s="66" t="s">
        <v>132</v>
      </c>
      <c r="E67" s="66" t="s">
        <v>132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>
        <v>1.9688957782716701E-4</v>
      </c>
      <c r="K67" s="66" t="s">
        <v>132</v>
      </c>
      <c r="L67" s="66">
        <v>2.30360806057786E-3</v>
      </c>
      <c r="M67" s="66">
        <v>5.9066873348150202E-4</v>
      </c>
      <c r="N67" s="66" t="s">
        <v>132</v>
      </c>
      <c r="O67" s="66" t="s">
        <v>132</v>
      </c>
      <c r="P67" s="55" t="s">
        <v>132</v>
      </c>
      <c r="Q67" s="59">
        <v>3.0911663718865292E-3</v>
      </c>
    </row>
    <row r="68" spans="1:17" x14ac:dyDescent="0.2">
      <c r="A68" s="23" t="s">
        <v>16</v>
      </c>
      <c r="B68" s="53" t="s">
        <v>132</v>
      </c>
      <c r="C68" s="67" t="s">
        <v>132</v>
      </c>
      <c r="D68" s="67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 t="s">
        <v>132</v>
      </c>
      <c r="M68" s="67" t="s">
        <v>132</v>
      </c>
      <c r="N68" s="67" t="s">
        <v>132</v>
      </c>
      <c r="O68" s="67" t="s">
        <v>132</v>
      </c>
      <c r="P68" s="56" t="s">
        <v>132</v>
      </c>
      <c r="Q68" s="58" t="s">
        <v>132</v>
      </c>
    </row>
    <row r="69" spans="1:17" x14ac:dyDescent="0.2">
      <c r="A69" s="22" t="s">
        <v>17</v>
      </c>
      <c r="B69" s="54" t="s">
        <v>132</v>
      </c>
      <c r="C69" s="66" t="s">
        <v>132</v>
      </c>
      <c r="D69" s="66" t="s">
        <v>132</v>
      </c>
      <c r="E69" s="66">
        <v>4.8237946567655999E-4</v>
      </c>
      <c r="F69" s="66">
        <v>3.4455676119754303E-4</v>
      </c>
      <c r="G69" s="66" t="s">
        <v>132</v>
      </c>
      <c r="H69" s="66" t="s">
        <v>132</v>
      </c>
      <c r="I69" s="66" t="s">
        <v>132</v>
      </c>
      <c r="J69" s="66" t="s">
        <v>132</v>
      </c>
      <c r="K69" s="66">
        <v>1.87045098935809E-4</v>
      </c>
      <c r="L69" s="66">
        <v>2.0673405671852601E-4</v>
      </c>
      <c r="M69" s="66">
        <v>1.67356141153092E-4</v>
      </c>
      <c r="N69" s="66" t="s">
        <v>132</v>
      </c>
      <c r="O69" s="66" t="s">
        <v>132</v>
      </c>
      <c r="P69" s="55">
        <v>1.2797822558765901E-4</v>
      </c>
      <c r="Q69" s="59">
        <v>1.516049749269189E-3</v>
      </c>
    </row>
    <row r="70" spans="1:17" x14ac:dyDescent="0.2">
      <c r="A70" s="23" t="s">
        <v>89</v>
      </c>
      <c r="B70" s="53" t="s">
        <v>132</v>
      </c>
      <c r="C70" s="67" t="s">
        <v>132</v>
      </c>
      <c r="D70" s="67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56" t="s">
        <v>132</v>
      </c>
      <c r="Q70" s="58" t="s">
        <v>132</v>
      </c>
    </row>
    <row r="71" spans="1:17" x14ac:dyDescent="0.2">
      <c r="A71" s="22" t="s">
        <v>79</v>
      </c>
      <c r="B71" s="54" t="s">
        <v>132</v>
      </c>
      <c r="C71" s="66" t="s">
        <v>132</v>
      </c>
      <c r="D71" s="66" t="s">
        <v>132</v>
      </c>
      <c r="E71" s="66">
        <v>7.1864695906916098E-4</v>
      </c>
      <c r="F71" s="66" t="s">
        <v>132</v>
      </c>
      <c r="G71" s="66">
        <v>1.9688957782716699E-5</v>
      </c>
      <c r="H71" s="66" t="s">
        <v>132</v>
      </c>
      <c r="I71" s="66" t="s">
        <v>132</v>
      </c>
      <c r="J71" s="66" t="s">
        <v>132</v>
      </c>
      <c r="K71" s="66">
        <v>1.2797822558765901E-4</v>
      </c>
      <c r="L71" s="66" t="s">
        <v>132</v>
      </c>
      <c r="M71" s="66" t="s">
        <v>132</v>
      </c>
      <c r="N71" s="66" t="s">
        <v>132</v>
      </c>
      <c r="O71" s="66" t="s">
        <v>132</v>
      </c>
      <c r="P71" s="55" t="s">
        <v>132</v>
      </c>
      <c r="Q71" s="59">
        <v>8.663141424395367E-4</v>
      </c>
    </row>
    <row r="72" spans="1:17" x14ac:dyDescent="0.2">
      <c r="A72" s="23" t="s">
        <v>80</v>
      </c>
      <c r="B72" s="53" t="s">
        <v>132</v>
      </c>
      <c r="C72" s="67" t="s">
        <v>132</v>
      </c>
      <c r="D72" s="67" t="s">
        <v>132</v>
      </c>
      <c r="E72" s="67" t="s">
        <v>132</v>
      </c>
      <c r="F72" s="67" t="s">
        <v>132</v>
      </c>
      <c r="G72" s="67">
        <v>9.8444788913583696E-6</v>
      </c>
      <c r="H72" s="67" t="s">
        <v>132</v>
      </c>
      <c r="I72" s="67" t="s">
        <v>132</v>
      </c>
      <c r="J72" s="67" t="s">
        <v>132</v>
      </c>
      <c r="K72" s="67" t="s">
        <v>132</v>
      </c>
      <c r="L72" s="67">
        <v>5.0206842345927702E-4</v>
      </c>
      <c r="M72" s="67">
        <v>1.08289267804942E-3</v>
      </c>
      <c r="N72" s="67">
        <v>1.3782270447901699E-4</v>
      </c>
      <c r="O72" s="67" t="s">
        <v>132</v>
      </c>
      <c r="P72" s="56">
        <v>1.3782270447901699E-4</v>
      </c>
      <c r="Q72" s="58">
        <v>1.8704509893580892E-3</v>
      </c>
    </row>
    <row r="73" spans="1:17" x14ac:dyDescent="0.2">
      <c r="A73" s="22" t="s">
        <v>18</v>
      </c>
      <c r="B73" s="54" t="s">
        <v>132</v>
      </c>
      <c r="C73" s="66" t="s">
        <v>132</v>
      </c>
      <c r="D73" s="66" t="s">
        <v>132</v>
      </c>
      <c r="E73" s="66" t="s">
        <v>132</v>
      </c>
      <c r="F73" s="66" t="s">
        <v>132</v>
      </c>
      <c r="G73" s="66" t="s">
        <v>132</v>
      </c>
      <c r="H73" s="66" t="s">
        <v>132</v>
      </c>
      <c r="I73" s="66" t="s">
        <v>132</v>
      </c>
      <c r="J73" s="66" t="s">
        <v>132</v>
      </c>
      <c r="K73" s="66" t="s">
        <v>132</v>
      </c>
      <c r="L73" s="66" t="s">
        <v>132</v>
      </c>
      <c r="M73" s="66" t="s">
        <v>132</v>
      </c>
      <c r="N73" s="66" t="s">
        <v>132</v>
      </c>
      <c r="O73" s="66" t="s">
        <v>132</v>
      </c>
      <c r="P73" s="55" t="s">
        <v>132</v>
      </c>
      <c r="Q73" s="59" t="s">
        <v>132</v>
      </c>
    </row>
    <row r="74" spans="1:17" x14ac:dyDescent="0.2">
      <c r="A74" s="23" t="s">
        <v>78</v>
      </c>
      <c r="B74" s="53" t="s">
        <v>132</v>
      </c>
      <c r="C74" s="67" t="s">
        <v>132</v>
      </c>
      <c r="D74" s="67" t="s">
        <v>132</v>
      </c>
      <c r="E74" s="67">
        <v>1.2797822558765901E-4</v>
      </c>
      <c r="F74" s="67" t="s">
        <v>132</v>
      </c>
      <c r="G74" s="67" t="s">
        <v>132</v>
      </c>
      <c r="H74" s="67" t="s">
        <v>132</v>
      </c>
      <c r="I74" s="67" t="s">
        <v>132</v>
      </c>
      <c r="J74" s="67" t="s">
        <v>132</v>
      </c>
      <c r="K74" s="67" t="s">
        <v>132</v>
      </c>
      <c r="L74" s="67" t="s">
        <v>132</v>
      </c>
      <c r="M74" s="67" t="s">
        <v>132</v>
      </c>
      <c r="N74" s="67" t="s">
        <v>132</v>
      </c>
      <c r="O74" s="67" t="s">
        <v>132</v>
      </c>
      <c r="P74" s="56" t="s">
        <v>132</v>
      </c>
      <c r="Q74" s="58">
        <v>1.2797822558765901E-4</v>
      </c>
    </row>
    <row r="75" spans="1:17" x14ac:dyDescent="0.2">
      <c r="A75" s="22" t="s">
        <v>33</v>
      </c>
      <c r="B75" s="54">
        <v>2.96318814629887E-3</v>
      </c>
      <c r="C75" s="66">
        <v>1.30537790099412E-2</v>
      </c>
      <c r="D75" s="66" t="s">
        <v>132</v>
      </c>
      <c r="E75" s="66">
        <v>2.0777757148101001E-2</v>
      </c>
      <c r="F75" s="66" t="s">
        <v>132</v>
      </c>
      <c r="G75" s="66">
        <v>1.5357387070519099E-3</v>
      </c>
      <c r="H75" s="66">
        <v>1.7277060454333901E-2</v>
      </c>
      <c r="I75" s="66">
        <v>3.5321990262193799E-2</v>
      </c>
      <c r="J75" s="66">
        <v>3.1502332452346799E-4</v>
      </c>
      <c r="K75" s="66">
        <v>5.0206842345927702E-4</v>
      </c>
      <c r="L75" s="66">
        <v>4.86711036388758E-2</v>
      </c>
      <c r="M75" s="66">
        <v>4.2429704021754496E-3</v>
      </c>
      <c r="N75" s="66" t="s">
        <v>132</v>
      </c>
      <c r="O75" s="66" t="s">
        <v>132</v>
      </c>
      <c r="P75" s="55">
        <v>2.1460963983161198E-3</v>
      </c>
      <c r="Q75" s="59">
        <v>0.14680677591527078</v>
      </c>
    </row>
    <row r="76" spans="1:17" x14ac:dyDescent="0.2">
      <c r="A76" s="23" t="s">
        <v>34</v>
      </c>
      <c r="B76" s="53">
        <v>2.1756298349901999E-3</v>
      </c>
      <c r="C76" s="67">
        <v>1.13900620773016E-2</v>
      </c>
      <c r="D76" s="67" t="s">
        <v>132</v>
      </c>
      <c r="E76" s="67">
        <v>9.8444788913583706E-5</v>
      </c>
      <c r="F76" s="67" t="s">
        <v>132</v>
      </c>
      <c r="G76" s="67">
        <v>2.7564540895803398E-4</v>
      </c>
      <c r="H76" s="67">
        <v>2.2809657591277298E-2</v>
      </c>
      <c r="I76" s="67">
        <v>2.4118973283828002E-3</v>
      </c>
      <c r="J76" s="67" t="s">
        <v>132</v>
      </c>
      <c r="K76" s="67" t="s">
        <v>132</v>
      </c>
      <c r="L76" s="67">
        <v>6.6942456461236896E-4</v>
      </c>
      <c r="M76" s="67">
        <v>1.67356141153092E-4</v>
      </c>
      <c r="N76" s="67" t="s">
        <v>132</v>
      </c>
      <c r="O76" s="67" t="s">
        <v>132</v>
      </c>
      <c r="P76" s="56">
        <v>2.55956451175317E-4</v>
      </c>
      <c r="Q76" s="58">
        <v>4.0254074186764292E-2</v>
      </c>
    </row>
    <row r="77" spans="1:17" x14ac:dyDescent="0.2">
      <c r="A77" s="22" t="s">
        <v>35</v>
      </c>
      <c r="B77" s="54">
        <v>1.703094848205E-3</v>
      </c>
      <c r="C77" s="66">
        <v>2.25930790556674E-2</v>
      </c>
      <c r="D77" s="66" t="s">
        <v>132</v>
      </c>
      <c r="E77" s="66">
        <v>3.3077449074964101E-3</v>
      </c>
      <c r="F77" s="66" t="s">
        <v>132</v>
      </c>
      <c r="G77" s="66" t="s">
        <v>132</v>
      </c>
      <c r="H77" s="66">
        <v>2.2346967083383502E-3</v>
      </c>
      <c r="I77" s="66">
        <v>1.43729391813832E-3</v>
      </c>
      <c r="J77" s="66" t="s">
        <v>132</v>
      </c>
      <c r="K77" s="66" t="s">
        <v>132</v>
      </c>
      <c r="L77" s="66">
        <v>1.4176049603556E-3</v>
      </c>
      <c r="M77" s="66">
        <v>9.0569205800497001E-4</v>
      </c>
      <c r="N77" s="66" t="s">
        <v>132</v>
      </c>
      <c r="O77" s="66" t="s">
        <v>132</v>
      </c>
      <c r="P77" s="55" t="s">
        <v>132</v>
      </c>
      <c r="Q77" s="59">
        <v>3.3599206456206045E-2</v>
      </c>
    </row>
    <row r="78" spans="1:17" x14ac:dyDescent="0.2">
      <c r="A78" s="23" t="s">
        <v>36</v>
      </c>
      <c r="B78" s="53" t="s">
        <v>132</v>
      </c>
      <c r="C78" s="67">
        <v>1.4766718337037499E-4</v>
      </c>
      <c r="D78" s="67">
        <v>2.6580093006667597E-4</v>
      </c>
      <c r="E78" s="67">
        <v>6.8911352239508494E-5</v>
      </c>
      <c r="F78" s="67" t="s">
        <v>132</v>
      </c>
      <c r="G78" s="67" t="s">
        <v>132</v>
      </c>
      <c r="H78" s="67">
        <v>7.2849143796051904E-4</v>
      </c>
      <c r="I78" s="67">
        <v>1.2108709036370801E-3</v>
      </c>
      <c r="J78" s="67" t="s">
        <v>132</v>
      </c>
      <c r="K78" s="67" t="s">
        <v>132</v>
      </c>
      <c r="L78" s="67" t="s">
        <v>132</v>
      </c>
      <c r="M78" s="67">
        <v>2.7564540895803398E-4</v>
      </c>
      <c r="N78" s="67" t="s">
        <v>132</v>
      </c>
      <c r="O78" s="67" t="s">
        <v>132</v>
      </c>
      <c r="P78" s="56" t="s">
        <v>132</v>
      </c>
      <c r="Q78" s="58">
        <v>2.6973872162321926E-3</v>
      </c>
    </row>
    <row r="79" spans="1:17" x14ac:dyDescent="0.2">
      <c r="A79" s="22" t="s">
        <v>6</v>
      </c>
      <c r="B79" s="54">
        <v>1.59480558040006E-3</v>
      </c>
      <c r="C79" s="66">
        <v>1.1222705936148501E-3</v>
      </c>
      <c r="D79" s="66">
        <v>6.8911352239508494E-5</v>
      </c>
      <c r="E79" s="66">
        <v>1.8704509893580901E-3</v>
      </c>
      <c r="F79" s="66">
        <v>4.9222394456791799E-5</v>
      </c>
      <c r="G79" s="66">
        <v>5.6113529680742698E-4</v>
      </c>
      <c r="H79" s="66" t="s">
        <v>132</v>
      </c>
      <c r="I79" s="66">
        <v>2.95334366740751E-5</v>
      </c>
      <c r="J79" s="66">
        <v>2.95334366740751E-5</v>
      </c>
      <c r="K79" s="66">
        <v>1.87045098935809E-4</v>
      </c>
      <c r="L79" s="66">
        <v>1.0336702835926301E-3</v>
      </c>
      <c r="M79" s="66">
        <v>2.0023670065022901E-3</v>
      </c>
      <c r="N79" s="66" t="s">
        <v>132</v>
      </c>
      <c r="O79" s="66" t="s">
        <v>132</v>
      </c>
      <c r="P79" s="55">
        <v>9.8444788913583696E-6</v>
      </c>
      <c r="Q79" s="59">
        <v>8.5587899481469644E-3</v>
      </c>
    </row>
    <row r="80" spans="1:17" ht="13.5" thickBot="1" x14ac:dyDescent="0.25">
      <c r="A80" s="23" t="s">
        <v>37</v>
      </c>
      <c r="B80" s="53" t="s">
        <v>132</v>
      </c>
      <c r="C80" s="67">
        <v>4.2331259232841002E-4</v>
      </c>
      <c r="D80" s="67" t="s">
        <v>132</v>
      </c>
      <c r="E80" s="67">
        <v>1.27978225587659E-3</v>
      </c>
      <c r="F80" s="67" t="s">
        <v>132</v>
      </c>
      <c r="G80" s="67">
        <v>1.6932503693136401E-3</v>
      </c>
      <c r="H80" s="67" t="s">
        <v>132</v>
      </c>
      <c r="I80" s="67" t="s">
        <v>132</v>
      </c>
      <c r="J80" s="67">
        <v>5.7491756725532896E-3</v>
      </c>
      <c r="K80" s="67">
        <v>2.2248522294469899E-3</v>
      </c>
      <c r="L80" s="67">
        <v>6.4077713103851602E-2</v>
      </c>
      <c r="M80" s="67">
        <v>1.703094848205E-3</v>
      </c>
      <c r="N80" s="67" t="s">
        <v>132</v>
      </c>
      <c r="O80" s="67">
        <v>9.8444788913583706E-5</v>
      </c>
      <c r="P80" s="56">
        <v>3.9377915565433499E-5</v>
      </c>
      <c r="Q80" s="58">
        <v>7.7289003776054549E-2</v>
      </c>
    </row>
    <row r="81" spans="1:17" ht="14.25" thickTop="1" thickBot="1" x14ac:dyDescent="0.25">
      <c r="A81" s="28" t="s">
        <v>0</v>
      </c>
      <c r="B81" s="61">
        <v>1.7976018455620385E-2</v>
      </c>
      <c r="C81" s="62">
        <v>4.8730170512223836E-2</v>
      </c>
      <c r="D81" s="62">
        <v>2.0641903339400216E-2</v>
      </c>
      <c r="E81" s="62">
        <v>7.4636901162722605E-2</v>
      </c>
      <c r="F81" s="62">
        <v>7.7672938452817497E-3</v>
      </c>
      <c r="G81" s="62">
        <v>5.5916640102915546E-3</v>
      </c>
      <c r="H81" s="62">
        <v>4.3473218784238474E-2</v>
      </c>
      <c r="I81" s="62">
        <v>4.2813638698517523E-2</v>
      </c>
      <c r="J81" s="62">
        <v>4.7529144087478242E-2</v>
      </c>
      <c r="K81" s="62">
        <v>2.8361943686003449E-2</v>
      </c>
      <c r="L81" s="62">
        <v>0.14862800451017211</v>
      </c>
      <c r="M81" s="62">
        <v>6.2604979061704286E-2</v>
      </c>
      <c r="N81" s="62">
        <v>6.1035769126421835E-4</v>
      </c>
      <c r="O81" s="62">
        <v>1.1518040302889339E-3</v>
      </c>
      <c r="P81" s="63">
        <v>3.4947900064322161E-3</v>
      </c>
      <c r="Q81" s="29">
        <v>0.55401183188163983</v>
      </c>
    </row>
    <row r="83" spans="1:17" s="21" customFormat="1" x14ac:dyDescent="0.2">
      <c r="A83" s="31"/>
    </row>
    <row r="84" spans="1:17" ht="15" x14ac:dyDescent="0.25">
      <c r="A84" s="100" t="s">
        <v>100</v>
      </c>
      <c r="B84" s="100" t="s">
        <v>132</v>
      </c>
      <c r="C84" s="100" t="s">
        <v>132</v>
      </c>
      <c r="D84" s="100" t="s">
        <v>132</v>
      </c>
      <c r="E84" s="100" t="s">
        <v>132</v>
      </c>
      <c r="F84" s="100" t="s">
        <v>132</v>
      </c>
      <c r="G84" s="100" t="s">
        <v>132</v>
      </c>
      <c r="H84" s="100" t="s">
        <v>132</v>
      </c>
      <c r="I84" s="100" t="s">
        <v>132</v>
      </c>
      <c r="J84" s="100" t="s">
        <v>132</v>
      </c>
      <c r="K84" s="100" t="s">
        <v>132</v>
      </c>
      <c r="L84" s="100" t="s">
        <v>132</v>
      </c>
      <c r="M84" s="100" t="s">
        <v>132</v>
      </c>
      <c r="N84" s="100" t="s">
        <v>132</v>
      </c>
      <c r="O84" s="100" t="s">
        <v>132</v>
      </c>
      <c r="P84" s="100" t="s">
        <v>132</v>
      </c>
      <c r="Q84" s="100" t="s">
        <v>132</v>
      </c>
    </row>
    <row r="85" spans="1:17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1:17" ht="13.5" thickBot="1" x14ac:dyDescent="0.25">
      <c r="A86" s="31" t="s">
        <v>133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1:17" ht="39" thickBot="1" x14ac:dyDescent="0.25">
      <c r="A87" s="25" t="s">
        <v>88</v>
      </c>
      <c r="B87" s="26" t="s">
        <v>38</v>
      </c>
      <c r="C87" s="32" t="s">
        <v>39</v>
      </c>
      <c r="D87" s="32" t="s">
        <v>40</v>
      </c>
      <c r="E87" s="32" t="s">
        <v>41</v>
      </c>
      <c r="F87" s="32" t="s">
        <v>42</v>
      </c>
      <c r="G87" s="32" t="s">
        <v>43</v>
      </c>
      <c r="H87" s="32" t="s">
        <v>44</v>
      </c>
      <c r="I87" s="32" t="s">
        <v>45</v>
      </c>
      <c r="J87" s="32" t="s">
        <v>64</v>
      </c>
      <c r="K87" s="32" t="s">
        <v>46</v>
      </c>
      <c r="L87" s="32" t="s">
        <v>7</v>
      </c>
      <c r="M87" s="32" t="s">
        <v>76</v>
      </c>
      <c r="N87" s="32" t="s">
        <v>47</v>
      </c>
      <c r="O87" s="32" t="s">
        <v>48</v>
      </c>
      <c r="P87" s="27" t="s">
        <v>49</v>
      </c>
      <c r="Q87" s="24" t="s">
        <v>0</v>
      </c>
    </row>
    <row r="88" spans="1:17" x14ac:dyDescent="0.2">
      <c r="A88" s="23" t="s">
        <v>8</v>
      </c>
      <c r="B88" s="53" t="s">
        <v>132</v>
      </c>
      <c r="C88" s="67" t="s">
        <v>132</v>
      </c>
      <c r="D88" s="67" t="s">
        <v>132</v>
      </c>
      <c r="E88" s="67">
        <v>1.6295387446800401E-3</v>
      </c>
      <c r="F88" s="67" t="s">
        <v>132</v>
      </c>
      <c r="G88" s="67" t="s">
        <v>132</v>
      </c>
      <c r="H88" s="67" t="s">
        <v>132</v>
      </c>
      <c r="I88" s="67" t="s">
        <v>132</v>
      </c>
      <c r="J88" s="67">
        <v>5.94302365706837E-4</v>
      </c>
      <c r="K88" s="67">
        <v>5.94302365706837E-4</v>
      </c>
      <c r="L88" s="67">
        <v>3.8342088110118499E-5</v>
      </c>
      <c r="M88" s="67" t="s">
        <v>132</v>
      </c>
      <c r="N88" s="67" t="s">
        <v>132</v>
      </c>
      <c r="O88" s="67" t="s">
        <v>132</v>
      </c>
      <c r="P88" s="56" t="s">
        <v>132</v>
      </c>
      <c r="Q88" s="58">
        <v>2.8564855642038323E-3</v>
      </c>
    </row>
    <row r="89" spans="1:17" x14ac:dyDescent="0.2">
      <c r="A89" s="22" t="s">
        <v>9</v>
      </c>
      <c r="B89" s="54">
        <v>7.6684176220236997E-5</v>
      </c>
      <c r="C89" s="66" t="s">
        <v>132</v>
      </c>
      <c r="D89" s="66">
        <v>2.10881484605652E-4</v>
      </c>
      <c r="E89" s="66">
        <v>5.94302365706837E-4</v>
      </c>
      <c r="F89" s="66">
        <v>1.3419730838541501E-4</v>
      </c>
      <c r="G89" s="66">
        <v>5.7513132165177697E-5</v>
      </c>
      <c r="H89" s="66" t="s">
        <v>132</v>
      </c>
      <c r="I89" s="66" t="s">
        <v>132</v>
      </c>
      <c r="J89" s="66" t="s">
        <v>132</v>
      </c>
      <c r="K89" s="66" t="s">
        <v>132</v>
      </c>
      <c r="L89" s="66" t="s">
        <v>132</v>
      </c>
      <c r="M89" s="66">
        <v>2.8756566082588901E-4</v>
      </c>
      <c r="N89" s="66" t="s">
        <v>132</v>
      </c>
      <c r="O89" s="66" t="s">
        <v>132</v>
      </c>
      <c r="P89" s="55">
        <v>7.6684176220236997E-5</v>
      </c>
      <c r="Q89" s="59">
        <v>1.4378283041294447E-3</v>
      </c>
    </row>
    <row r="90" spans="1:17" x14ac:dyDescent="0.2">
      <c r="A90" s="23" t="s">
        <v>10</v>
      </c>
      <c r="B90" s="53">
        <v>9.5855220275296196E-5</v>
      </c>
      <c r="C90" s="67" t="s">
        <v>132</v>
      </c>
      <c r="D90" s="67" t="s">
        <v>132</v>
      </c>
      <c r="E90" s="67">
        <v>7.6684176220236997E-5</v>
      </c>
      <c r="F90" s="67" t="s">
        <v>132</v>
      </c>
      <c r="G90" s="67" t="s">
        <v>132</v>
      </c>
      <c r="H90" s="67" t="s">
        <v>132</v>
      </c>
      <c r="I90" s="67" t="s">
        <v>132</v>
      </c>
      <c r="J90" s="67" t="s">
        <v>132</v>
      </c>
      <c r="K90" s="67" t="s">
        <v>132</v>
      </c>
      <c r="L90" s="67" t="s">
        <v>132</v>
      </c>
      <c r="M90" s="67" t="s">
        <v>132</v>
      </c>
      <c r="N90" s="67" t="s">
        <v>132</v>
      </c>
      <c r="O90" s="67" t="s">
        <v>132</v>
      </c>
      <c r="P90" s="56" t="s">
        <v>132</v>
      </c>
      <c r="Q90" s="58">
        <v>1.7253939649553319E-4</v>
      </c>
    </row>
    <row r="91" spans="1:17" x14ac:dyDescent="0.2">
      <c r="A91" s="22" t="s">
        <v>11</v>
      </c>
      <c r="B91" s="54" t="s">
        <v>132</v>
      </c>
      <c r="C91" s="66" t="s">
        <v>132</v>
      </c>
      <c r="D91" s="66" t="s">
        <v>132</v>
      </c>
      <c r="E91" s="66">
        <v>3.8342088110118499E-5</v>
      </c>
      <c r="F91" s="66" t="s">
        <v>132</v>
      </c>
      <c r="G91" s="66" t="s">
        <v>132</v>
      </c>
      <c r="H91" s="66" t="s">
        <v>132</v>
      </c>
      <c r="I91" s="66" t="s">
        <v>132</v>
      </c>
      <c r="J91" s="66">
        <v>2.30052528660711E-4</v>
      </c>
      <c r="K91" s="66" t="s">
        <v>132</v>
      </c>
      <c r="L91" s="66" t="s">
        <v>132</v>
      </c>
      <c r="M91" s="66">
        <v>9.5855220275296196E-5</v>
      </c>
      <c r="N91" s="66" t="s">
        <v>132</v>
      </c>
      <c r="O91" s="66" t="s">
        <v>132</v>
      </c>
      <c r="P91" s="55">
        <v>3.8342088110118499E-5</v>
      </c>
      <c r="Q91" s="59">
        <v>4.025919251562442E-4</v>
      </c>
    </row>
    <row r="92" spans="1:17" x14ac:dyDescent="0.2">
      <c r="A92" s="23" t="s">
        <v>12</v>
      </c>
      <c r="B92" s="53" t="s">
        <v>132</v>
      </c>
      <c r="C92" s="67" t="s">
        <v>132</v>
      </c>
      <c r="D92" s="67" t="s">
        <v>132</v>
      </c>
      <c r="E92" s="67" t="s">
        <v>132</v>
      </c>
      <c r="F92" s="67" t="s">
        <v>132</v>
      </c>
      <c r="G92" s="67" t="s">
        <v>132</v>
      </c>
      <c r="H92" s="67" t="s">
        <v>132</v>
      </c>
      <c r="I92" s="67" t="s">
        <v>132</v>
      </c>
      <c r="J92" s="67" t="s">
        <v>132</v>
      </c>
      <c r="K92" s="67" t="s">
        <v>132</v>
      </c>
      <c r="L92" s="67">
        <v>3.8342088110118499E-5</v>
      </c>
      <c r="M92" s="67" t="s">
        <v>132</v>
      </c>
      <c r="N92" s="67" t="s">
        <v>132</v>
      </c>
      <c r="O92" s="67" t="s">
        <v>132</v>
      </c>
      <c r="P92" s="56" t="s">
        <v>132</v>
      </c>
      <c r="Q92" s="58">
        <v>3.8342088110118499E-5</v>
      </c>
    </row>
    <row r="93" spans="1:17" x14ac:dyDescent="0.2">
      <c r="A93" s="22" t="s">
        <v>13</v>
      </c>
      <c r="B93" s="54" t="s">
        <v>132</v>
      </c>
      <c r="C93" s="66" t="s">
        <v>132</v>
      </c>
      <c r="D93" s="66" t="s">
        <v>132</v>
      </c>
      <c r="E93" s="66" t="s">
        <v>132</v>
      </c>
      <c r="F93" s="66" t="s">
        <v>132</v>
      </c>
      <c r="G93" s="66" t="s">
        <v>132</v>
      </c>
      <c r="H93" s="66" t="s">
        <v>132</v>
      </c>
      <c r="I93" s="66" t="s">
        <v>132</v>
      </c>
      <c r="J93" s="66" t="s">
        <v>132</v>
      </c>
      <c r="K93" s="66" t="s">
        <v>132</v>
      </c>
      <c r="L93" s="66" t="s">
        <v>132</v>
      </c>
      <c r="M93" s="66" t="s">
        <v>132</v>
      </c>
      <c r="N93" s="66" t="s">
        <v>132</v>
      </c>
      <c r="O93" s="66" t="s">
        <v>132</v>
      </c>
      <c r="P93" s="55" t="s">
        <v>132</v>
      </c>
      <c r="Q93" s="59" t="s">
        <v>132</v>
      </c>
    </row>
    <row r="94" spans="1:17" x14ac:dyDescent="0.2">
      <c r="A94" s="23" t="s">
        <v>14</v>
      </c>
      <c r="B94" s="53" t="s">
        <v>132</v>
      </c>
      <c r="C94" s="67" t="s">
        <v>132</v>
      </c>
      <c r="D94" s="67" t="s">
        <v>132</v>
      </c>
      <c r="E94" s="67" t="s">
        <v>132</v>
      </c>
      <c r="F94" s="67" t="s">
        <v>132</v>
      </c>
      <c r="G94" s="67" t="s">
        <v>132</v>
      </c>
      <c r="H94" s="67" t="s">
        <v>132</v>
      </c>
      <c r="I94" s="67" t="s">
        <v>132</v>
      </c>
      <c r="J94" s="67" t="s">
        <v>132</v>
      </c>
      <c r="K94" s="67" t="s">
        <v>132</v>
      </c>
      <c r="L94" s="67" t="s">
        <v>132</v>
      </c>
      <c r="M94" s="67" t="s">
        <v>132</v>
      </c>
      <c r="N94" s="67" t="s">
        <v>132</v>
      </c>
      <c r="O94" s="67" t="s">
        <v>132</v>
      </c>
      <c r="P94" s="56" t="s">
        <v>132</v>
      </c>
      <c r="Q94" s="58" t="s">
        <v>132</v>
      </c>
    </row>
    <row r="95" spans="1:17" x14ac:dyDescent="0.2">
      <c r="A95" s="22" t="s">
        <v>15</v>
      </c>
      <c r="B95" s="54" t="s">
        <v>132</v>
      </c>
      <c r="C95" s="66" t="s">
        <v>132</v>
      </c>
      <c r="D95" s="66" t="s">
        <v>132</v>
      </c>
      <c r="E95" s="66" t="s">
        <v>132</v>
      </c>
      <c r="F95" s="66" t="s">
        <v>132</v>
      </c>
      <c r="G95" s="66" t="s">
        <v>132</v>
      </c>
      <c r="H95" s="66" t="s">
        <v>132</v>
      </c>
      <c r="I95" s="66" t="s">
        <v>132</v>
      </c>
      <c r="J95" s="66" t="s">
        <v>132</v>
      </c>
      <c r="K95" s="66" t="s">
        <v>132</v>
      </c>
      <c r="L95" s="66">
        <v>9.5855220275296196E-5</v>
      </c>
      <c r="M95" s="66" t="s">
        <v>132</v>
      </c>
      <c r="N95" s="66" t="s">
        <v>132</v>
      </c>
      <c r="O95" s="66" t="s">
        <v>132</v>
      </c>
      <c r="P95" s="55" t="s">
        <v>132</v>
      </c>
      <c r="Q95" s="59">
        <v>9.5855220275296196E-5</v>
      </c>
    </row>
    <row r="96" spans="1:17" x14ac:dyDescent="0.2">
      <c r="A96" s="23" t="s">
        <v>16</v>
      </c>
      <c r="B96" s="53" t="s">
        <v>132</v>
      </c>
      <c r="C96" s="67" t="s">
        <v>132</v>
      </c>
      <c r="D96" s="67" t="s">
        <v>132</v>
      </c>
      <c r="E96" s="67" t="s">
        <v>132</v>
      </c>
      <c r="F96" s="67" t="s">
        <v>132</v>
      </c>
      <c r="G96" s="67" t="s">
        <v>132</v>
      </c>
      <c r="H96" s="67" t="s">
        <v>132</v>
      </c>
      <c r="I96" s="67" t="s">
        <v>132</v>
      </c>
      <c r="J96" s="67" t="s">
        <v>132</v>
      </c>
      <c r="K96" s="67" t="s">
        <v>132</v>
      </c>
      <c r="L96" s="67" t="s">
        <v>132</v>
      </c>
      <c r="M96" s="67" t="s">
        <v>132</v>
      </c>
      <c r="N96" s="67" t="s">
        <v>132</v>
      </c>
      <c r="O96" s="67" t="s">
        <v>132</v>
      </c>
      <c r="P96" s="56" t="s">
        <v>132</v>
      </c>
      <c r="Q96" s="58" t="s">
        <v>132</v>
      </c>
    </row>
    <row r="97" spans="1:17" x14ac:dyDescent="0.2">
      <c r="A97" s="22" t="s">
        <v>17</v>
      </c>
      <c r="B97" s="54" t="s">
        <v>132</v>
      </c>
      <c r="C97" s="66" t="s">
        <v>132</v>
      </c>
      <c r="D97" s="66" t="s">
        <v>132</v>
      </c>
      <c r="E97" s="66" t="s">
        <v>132</v>
      </c>
      <c r="F97" s="66" t="s">
        <v>132</v>
      </c>
      <c r="G97" s="66" t="s">
        <v>132</v>
      </c>
      <c r="H97" s="66" t="s">
        <v>132</v>
      </c>
      <c r="I97" s="66" t="s">
        <v>132</v>
      </c>
      <c r="J97" s="66" t="s">
        <v>132</v>
      </c>
      <c r="K97" s="66" t="s">
        <v>132</v>
      </c>
      <c r="L97" s="66" t="s">
        <v>132</v>
      </c>
      <c r="M97" s="66" t="s">
        <v>132</v>
      </c>
      <c r="N97" s="66" t="s">
        <v>132</v>
      </c>
      <c r="O97" s="66" t="s">
        <v>132</v>
      </c>
      <c r="P97" s="55" t="s">
        <v>132</v>
      </c>
      <c r="Q97" s="59" t="s">
        <v>132</v>
      </c>
    </row>
    <row r="98" spans="1:17" x14ac:dyDescent="0.2">
      <c r="A98" s="23" t="s">
        <v>89</v>
      </c>
      <c r="B98" s="53" t="s">
        <v>132</v>
      </c>
      <c r="C98" s="67" t="s">
        <v>132</v>
      </c>
      <c r="D98" s="67" t="s">
        <v>132</v>
      </c>
      <c r="E98" s="67" t="s">
        <v>132</v>
      </c>
      <c r="F98" s="67" t="s">
        <v>132</v>
      </c>
      <c r="G98" s="67" t="s">
        <v>132</v>
      </c>
      <c r="H98" s="67" t="s">
        <v>132</v>
      </c>
      <c r="I98" s="67" t="s">
        <v>132</v>
      </c>
      <c r="J98" s="67" t="s">
        <v>132</v>
      </c>
      <c r="K98" s="67" t="s">
        <v>132</v>
      </c>
      <c r="L98" s="67" t="s">
        <v>132</v>
      </c>
      <c r="M98" s="67" t="s">
        <v>132</v>
      </c>
      <c r="N98" s="67" t="s">
        <v>132</v>
      </c>
      <c r="O98" s="67" t="s">
        <v>132</v>
      </c>
      <c r="P98" s="56" t="s">
        <v>132</v>
      </c>
      <c r="Q98" s="58" t="s">
        <v>132</v>
      </c>
    </row>
    <row r="99" spans="1:17" x14ac:dyDescent="0.2">
      <c r="A99" s="22" t="s">
        <v>79</v>
      </c>
      <c r="B99" s="54" t="s">
        <v>132</v>
      </c>
      <c r="C99" s="66" t="s">
        <v>132</v>
      </c>
      <c r="D99" s="66" t="s">
        <v>132</v>
      </c>
      <c r="E99" s="66" t="s">
        <v>132</v>
      </c>
      <c r="F99" s="66" t="s">
        <v>132</v>
      </c>
      <c r="G99" s="66" t="s">
        <v>132</v>
      </c>
      <c r="H99" s="66" t="s">
        <v>132</v>
      </c>
      <c r="I99" s="66" t="s">
        <v>132</v>
      </c>
      <c r="J99" s="66" t="s">
        <v>132</v>
      </c>
      <c r="K99" s="66" t="s">
        <v>132</v>
      </c>
      <c r="L99" s="66" t="s">
        <v>132</v>
      </c>
      <c r="M99" s="66" t="s">
        <v>132</v>
      </c>
      <c r="N99" s="66" t="s">
        <v>132</v>
      </c>
      <c r="O99" s="66" t="s">
        <v>132</v>
      </c>
      <c r="P99" s="55" t="s">
        <v>132</v>
      </c>
      <c r="Q99" s="59" t="s">
        <v>132</v>
      </c>
    </row>
    <row r="100" spans="1:17" x14ac:dyDescent="0.2">
      <c r="A100" s="23" t="s">
        <v>80</v>
      </c>
      <c r="B100" s="53" t="s">
        <v>132</v>
      </c>
      <c r="C100" s="67" t="s">
        <v>132</v>
      </c>
      <c r="D100" s="67" t="s">
        <v>132</v>
      </c>
      <c r="E100" s="67" t="s">
        <v>132</v>
      </c>
      <c r="F100" s="67" t="s">
        <v>132</v>
      </c>
      <c r="G100" s="67" t="s">
        <v>132</v>
      </c>
      <c r="H100" s="67" t="s">
        <v>132</v>
      </c>
      <c r="I100" s="67" t="s">
        <v>132</v>
      </c>
      <c r="J100" s="67" t="s">
        <v>132</v>
      </c>
      <c r="K100" s="67" t="s">
        <v>132</v>
      </c>
      <c r="L100" s="67" t="s">
        <v>132</v>
      </c>
      <c r="M100" s="67" t="s">
        <v>132</v>
      </c>
      <c r="N100" s="67" t="s">
        <v>132</v>
      </c>
      <c r="O100" s="67" t="s">
        <v>132</v>
      </c>
      <c r="P100" s="56" t="s">
        <v>132</v>
      </c>
      <c r="Q100" s="58" t="s">
        <v>132</v>
      </c>
    </row>
    <row r="101" spans="1:17" x14ac:dyDescent="0.2">
      <c r="A101" s="22" t="s">
        <v>18</v>
      </c>
      <c r="B101" s="54" t="s">
        <v>132</v>
      </c>
      <c r="C101" s="66" t="s">
        <v>132</v>
      </c>
      <c r="D101" s="66" t="s">
        <v>132</v>
      </c>
      <c r="E101" s="66" t="s">
        <v>132</v>
      </c>
      <c r="F101" s="66" t="s">
        <v>132</v>
      </c>
      <c r="G101" s="66" t="s">
        <v>132</v>
      </c>
      <c r="H101" s="66" t="s">
        <v>132</v>
      </c>
      <c r="I101" s="66" t="s">
        <v>132</v>
      </c>
      <c r="J101" s="66" t="s">
        <v>132</v>
      </c>
      <c r="K101" s="66" t="s">
        <v>132</v>
      </c>
      <c r="L101" s="66" t="s">
        <v>132</v>
      </c>
      <c r="M101" s="66" t="s">
        <v>132</v>
      </c>
      <c r="N101" s="66" t="s">
        <v>132</v>
      </c>
      <c r="O101" s="66" t="s">
        <v>132</v>
      </c>
      <c r="P101" s="55" t="s">
        <v>132</v>
      </c>
      <c r="Q101" s="59" t="s">
        <v>132</v>
      </c>
    </row>
    <row r="102" spans="1:17" x14ac:dyDescent="0.2">
      <c r="A102" s="23" t="s">
        <v>78</v>
      </c>
      <c r="B102" s="53" t="s">
        <v>132</v>
      </c>
      <c r="C102" s="67" t="s">
        <v>132</v>
      </c>
      <c r="D102" s="67" t="s">
        <v>132</v>
      </c>
      <c r="E102" s="67">
        <v>5.7513132165177697E-5</v>
      </c>
      <c r="F102" s="67" t="s">
        <v>132</v>
      </c>
      <c r="G102" s="67" t="s">
        <v>132</v>
      </c>
      <c r="H102" s="67" t="s">
        <v>132</v>
      </c>
      <c r="I102" s="67">
        <v>1.9171044055059198E-5</v>
      </c>
      <c r="J102" s="67" t="s">
        <v>132</v>
      </c>
      <c r="K102" s="67" t="s">
        <v>132</v>
      </c>
      <c r="L102" s="67" t="s">
        <v>132</v>
      </c>
      <c r="M102" s="67" t="s">
        <v>132</v>
      </c>
      <c r="N102" s="67" t="s">
        <v>132</v>
      </c>
      <c r="O102" s="67" t="s">
        <v>132</v>
      </c>
      <c r="P102" s="56" t="s">
        <v>132</v>
      </c>
      <c r="Q102" s="58">
        <v>7.6684176220236902E-5</v>
      </c>
    </row>
    <row r="103" spans="1:17" x14ac:dyDescent="0.2">
      <c r="A103" s="22" t="s">
        <v>33</v>
      </c>
      <c r="B103" s="54">
        <v>2.10881484605652E-4</v>
      </c>
      <c r="C103" s="66" t="s">
        <v>132</v>
      </c>
      <c r="D103" s="66" t="s">
        <v>132</v>
      </c>
      <c r="E103" s="66">
        <v>2.6647751236532299E-3</v>
      </c>
      <c r="F103" s="66" t="s">
        <v>132</v>
      </c>
      <c r="G103" s="66" t="s">
        <v>132</v>
      </c>
      <c r="H103" s="66" t="s">
        <v>132</v>
      </c>
      <c r="I103" s="66">
        <v>5.1761818948659998E-4</v>
      </c>
      <c r="J103" s="66" t="s">
        <v>132</v>
      </c>
      <c r="K103" s="66" t="s">
        <v>132</v>
      </c>
      <c r="L103" s="66" t="s">
        <v>132</v>
      </c>
      <c r="M103" s="66" t="s">
        <v>132</v>
      </c>
      <c r="N103" s="66" t="s">
        <v>132</v>
      </c>
      <c r="O103" s="66" t="s">
        <v>132</v>
      </c>
      <c r="P103" s="55" t="s">
        <v>132</v>
      </c>
      <c r="Q103" s="59">
        <v>3.393274797745482E-3</v>
      </c>
    </row>
    <row r="104" spans="1:17" x14ac:dyDescent="0.2">
      <c r="A104" s="23" t="s">
        <v>34</v>
      </c>
      <c r="B104" s="53">
        <v>1.5336835244047399E-4</v>
      </c>
      <c r="C104" s="67" t="s">
        <v>132</v>
      </c>
      <c r="D104" s="67" t="s">
        <v>132</v>
      </c>
      <c r="E104" s="67" t="s">
        <v>132</v>
      </c>
      <c r="F104" s="67" t="s">
        <v>132</v>
      </c>
      <c r="G104" s="67" t="s">
        <v>132</v>
      </c>
      <c r="H104" s="67" t="s">
        <v>132</v>
      </c>
      <c r="I104" s="67" t="s">
        <v>132</v>
      </c>
      <c r="J104" s="67" t="s">
        <v>132</v>
      </c>
      <c r="K104" s="67" t="s">
        <v>132</v>
      </c>
      <c r="L104" s="67" t="s">
        <v>132</v>
      </c>
      <c r="M104" s="67" t="s">
        <v>132</v>
      </c>
      <c r="N104" s="67" t="s">
        <v>132</v>
      </c>
      <c r="O104" s="67" t="s">
        <v>132</v>
      </c>
      <c r="P104" s="56" t="s">
        <v>132</v>
      </c>
      <c r="Q104" s="58">
        <v>1.5336835244047399E-4</v>
      </c>
    </row>
    <row r="105" spans="1:17" x14ac:dyDescent="0.2">
      <c r="A105" s="22" t="s">
        <v>35</v>
      </c>
      <c r="B105" s="54" t="s">
        <v>132</v>
      </c>
      <c r="C105" s="66" t="s">
        <v>132</v>
      </c>
      <c r="D105" s="66" t="s">
        <v>132</v>
      </c>
      <c r="E105" s="66" t="s">
        <v>132</v>
      </c>
      <c r="F105" s="66" t="s">
        <v>132</v>
      </c>
      <c r="G105" s="66" t="s">
        <v>132</v>
      </c>
      <c r="H105" s="66" t="s">
        <v>132</v>
      </c>
      <c r="I105" s="66" t="s">
        <v>132</v>
      </c>
      <c r="J105" s="66" t="s">
        <v>132</v>
      </c>
      <c r="K105" s="66" t="s">
        <v>132</v>
      </c>
      <c r="L105" s="66" t="s">
        <v>132</v>
      </c>
      <c r="M105" s="66" t="s">
        <v>132</v>
      </c>
      <c r="N105" s="66" t="s">
        <v>132</v>
      </c>
      <c r="O105" s="66" t="s">
        <v>132</v>
      </c>
      <c r="P105" s="55" t="s">
        <v>132</v>
      </c>
      <c r="Q105" s="59" t="s">
        <v>132</v>
      </c>
    </row>
    <row r="106" spans="1:17" x14ac:dyDescent="0.2">
      <c r="A106" s="23" t="s">
        <v>36</v>
      </c>
      <c r="B106" s="53" t="s">
        <v>132</v>
      </c>
      <c r="C106" s="67" t="s">
        <v>132</v>
      </c>
      <c r="D106" s="67" t="s">
        <v>132</v>
      </c>
      <c r="E106" s="67" t="s">
        <v>132</v>
      </c>
      <c r="F106" s="67" t="s">
        <v>132</v>
      </c>
      <c r="G106" s="67" t="s">
        <v>132</v>
      </c>
      <c r="H106" s="67" t="s">
        <v>132</v>
      </c>
      <c r="I106" s="67" t="s">
        <v>132</v>
      </c>
      <c r="J106" s="67" t="s">
        <v>132</v>
      </c>
      <c r="K106" s="67" t="s">
        <v>132</v>
      </c>
      <c r="L106" s="67" t="s">
        <v>132</v>
      </c>
      <c r="M106" s="67" t="s">
        <v>132</v>
      </c>
      <c r="N106" s="67" t="s">
        <v>132</v>
      </c>
      <c r="O106" s="67" t="s">
        <v>132</v>
      </c>
      <c r="P106" s="56" t="s">
        <v>132</v>
      </c>
      <c r="Q106" s="58" t="s">
        <v>132</v>
      </c>
    </row>
    <row r="107" spans="1:17" x14ac:dyDescent="0.2">
      <c r="A107" s="22" t="s">
        <v>6</v>
      </c>
      <c r="B107" s="54">
        <v>2.30052528660711E-4</v>
      </c>
      <c r="C107" s="66">
        <v>7.6684176220236997E-5</v>
      </c>
      <c r="D107" s="66" t="s">
        <v>132</v>
      </c>
      <c r="E107" s="66" t="s">
        <v>132</v>
      </c>
      <c r="F107" s="66" t="s">
        <v>132</v>
      </c>
      <c r="G107" s="66" t="s">
        <v>132</v>
      </c>
      <c r="H107" s="66" t="s">
        <v>132</v>
      </c>
      <c r="I107" s="66" t="s">
        <v>132</v>
      </c>
      <c r="J107" s="66" t="s">
        <v>132</v>
      </c>
      <c r="K107" s="66" t="s">
        <v>132</v>
      </c>
      <c r="L107" s="66">
        <v>5.7513132165177697E-5</v>
      </c>
      <c r="M107" s="66" t="s">
        <v>132</v>
      </c>
      <c r="N107" s="66" t="s">
        <v>132</v>
      </c>
      <c r="O107" s="66" t="s">
        <v>132</v>
      </c>
      <c r="P107" s="55" t="s">
        <v>132</v>
      </c>
      <c r="Q107" s="59">
        <v>3.6424983704612569E-4</v>
      </c>
    </row>
    <row r="108" spans="1:17" ht="13.5" thickBot="1" x14ac:dyDescent="0.25">
      <c r="A108" s="23" t="s">
        <v>37</v>
      </c>
      <c r="B108" s="53" t="s">
        <v>132</v>
      </c>
      <c r="C108" s="67" t="s">
        <v>132</v>
      </c>
      <c r="D108" s="67" t="s">
        <v>132</v>
      </c>
      <c r="E108" s="67" t="s">
        <v>132</v>
      </c>
      <c r="F108" s="67" t="s">
        <v>132</v>
      </c>
      <c r="G108" s="67" t="s">
        <v>132</v>
      </c>
      <c r="H108" s="67" t="s">
        <v>132</v>
      </c>
      <c r="I108" s="67" t="s">
        <v>132</v>
      </c>
      <c r="J108" s="67">
        <v>1.5336835244047399E-4</v>
      </c>
      <c r="K108" s="67" t="s">
        <v>132</v>
      </c>
      <c r="L108" s="67">
        <v>8.4352593842260701E-4</v>
      </c>
      <c r="M108" s="67" t="s">
        <v>132</v>
      </c>
      <c r="N108" s="67" t="s">
        <v>132</v>
      </c>
      <c r="O108" s="67" t="s">
        <v>132</v>
      </c>
      <c r="P108" s="56" t="s">
        <v>132</v>
      </c>
      <c r="Q108" s="58">
        <v>9.9689429086308092E-4</v>
      </c>
    </row>
    <row r="109" spans="1:17" ht="14.25" thickTop="1" thickBot="1" x14ac:dyDescent="0.25">
      <c r="A109" s="28" t="s">
        <v>0</v>
      </c>
      <c r="B109" s="61">
        <v>7.6684176220237021E-4</v>
      </c>
      <c r="C109" s="62">
        <v>7.6684176220236997E-5</v>
      </c>
      <c r="D109" s="62">
        <v>2.10881484605652E-4</v>
      </c>
      <c r="E109" s="62">
        <v>5.0611556305356397E-3</v>
      </c>
      <c r="F109" s="62">
        <v>1.3419730838541501E-4</v>
      </c>
      <c r="G109" s="62">
        <v>5.7513132165177697E-5</v>
      </c>
      <c r="H109" s="62" t="s">
        <v>132</v>
      </c>
      <c r="I109" s="62">
        <v>5.3678923354165918E-4</v>
      </c>
      <c r="J109" s="62">
        <v>9.7772324680802194E-4</v>
      </c>
      <c r="K109" s="62">
        <v>5.94302365706837E-4</v>
      </c>
      <c r="L109" s="62">
        <v>1.0735784670833179E-3</v>
      </c>
      <c r="M109" s="62">
        <v>3.8342088110118522E-4</v>
      </c>
      <c r="N109" s="62" t="s">
        <v>132</v>
      </c>
      <c r="O109" s="62" t="s">
        <v>132</v>
      </c>
      <c r="P109" s="63">
        <v>1.1502626433035549E-4</v>
      </c>
      <c r="Q109" s="29">
        <v>9.9881139526858675E-3</v>
      </c>
    </row>
  </sheetData>
  <mergeCells count="4">
    <mergeCell ref="A1:Q1"/>
    <mergeCell ref="A28:Q28"/>
    <mergeCell ref="A56:Q56"/>
    <mergeCell ref="A84:Q84"/>
  </mergeCells>
  <conditionalFormatting sqref="B5:Q25">
    <cfRule type="cellIs" dxfId="19" priority="1" operator="greaterThan">
      <formula>0</formula>
    </cfRule>
  </conditionalFormatting>
  <conditionalFormatting sqref="Q25">
    <cfRule type="cellIs" dxfId="18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82" orientation="landscape" r:id="rId1"/>
  <headerFooter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GridLines="0" topLeftCell="A73" zoomScaleNormal="100" workbookViewId="0">
      <selection activeCell="A78" sqref="A78"/>
    </sheetView>
  </sheetViews>
  <sheetFormatPr defaultRowHeight="12.75" x14ac:dyDescent="0.2"/>
  <cols>
    <col min="1" max="1" width="38.28515625" style="21" bestFit="1" customWidth="1"/>
    <col min="2" max="2" width="23.140625" style="21" bestFit="1" customWidth="1"/>
    <col min="3" max="15" width="10.28515625" style="21" customWidth="1"/>
    <col min="16" max="16" width="11.42578125" style="21" customWidth="1"/>
    <col min="17" max="20" width="10.28515625" style="21" customWidth="1"/>
    <col min="21" max="16384" width="9.140625" style="16"/>
  </cols>
  <sheetData>
    <row r="1" spans="1:20" ht="15" customHeight="1" x14ac:dyDescent="0.25">
      <c r="A1" s="100" t="s">
        <v>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7.5" customHeight="1" x14ac:dyDescent="0.2"/>
    <row r="3" spans="1:20" ht="12.75" customHeight="1" thickBot="1" x14ac:dyDescent="0.25">
      <c r="A3" s="31" t="s">
        <v>133</v>
      </c>
    </row>
    <row r="4" spans="1:20" ht="38.25" customHeight="1" thickBot="1" x14ac:dyDescent="0.25">
      <c r="A4" s="38" t="s">
        <v>65</v>
      </c>
      <c r="B4" s="37" t="s">
        <v>73</v>
      </c>
      <c r="C4" s="45" t="s">
        <v>74</v>
      </c>
      <c r="D4" s="46" t="s">
        <v>75</v>
      </c>
      <c r="E4" s="32" t="s">
        <v>50</v>
      </c>
      <c r="F4" s="32" t="s">
        <v>51</v>
      </c>
      <c r="G4" s="32" t="s">
        <v>52</v>
      </c>
      <c r="H4" s="32" t="s">
        <v>53</v>
      </c>
      <c r="I4" s="32" t="s">
        <v>63</v>
      </c>
      <c r="J4" s="32" t="s">
        <v>54</v>
      </c>
      <c r="K4" s="32" t="s">
        <v>55</v>
      </c>
      <c r="L4" s="32" t="s">
        <v>56</v>
      </c>
      <c r="M4" s="32" t="s">
        <v>57</v>
      </c>
      <c r="N4" s="32" t="s">
        <v>58</v>
      </c>
      <c r="O4" s="32" t="s">
        <v>59</v>
      </c>
      <c r="P4" s="32" t="s">
        <v>60</v>
      </c>
      <c r="Q4" s="32" t="s">
        <v>61</v>
      </c>
      <c r="R4" s="32" t="s">
        <v>81</v>
      </c>
      <c r="S4" s="44" t="s">
        <v>62</v>
      </c>
      <c r="T4" s="33" t="s">
        <v>0</v>
      </c>
    </row>
    <row r="5" spans="1:20" ht="12.75" customHeight="1" x14ac:dyDescent="0.2">
      <c r="A5" s="36" t="s">
        <v>67</v>
      </c>
      <c r="B5" s="39" t="s">
        <v>68</v>
      </c>
      <c r="C5" s="93">
        <v>1.5531499024536665E-2</v>
      </c>
      <c r="D5" s="94">
        <v>2.0075764599182138E-3</v>
      </c>
      <c r="E5" s="66">
        <v>5.9979090976432477E-3</v>
      </c>
      <c r="F5" s="66">
        <v>4.8089017073655845E-3</v>
      </c>
      <c r="G5" s="66">
        <v>3.4333038296091143E-5</v>
      </c>
      <c r="H5" s="66">
        <v>7.464092199472007E-6</v>
      </c>
      <c r="I5" s="66">
        <v>4.1191781149031606E-4</v>
      </c>
      <c r="J5" s="66" t="s">
        <v>132</v>
      </c>
      <c r="K5" s="66" t="s">
        <v>132</v>
      </c>
      <c r="L5" s="66" t="s">
        <v>132</v>
      </c>
      <c r="M5" s="66">
        <v>2.2494330846758724E-4</v>
      </c>
      <c r="N5" s="66">
        <v>8.3479875258812061E-5</v>
      </c>
      <c r="O5" s="66" t="s">
        <v>132</v>
      </c>
      <c r="P5" s="66" t="s">
        <v>132</v>
      </c>
      <c r="Q5" s="66" t="s">
        <v>132</v>
      </c>
      <c r="R5" s="66">
        <v>4.7076732396815498E-5</v>
      </c>
      <c r="S5" s="84">
        <v>4.1979701211895825E-4</v>
      </c>
      <c r="T5" s="88">
        <v>2.9574898159691762E-2</v>
      </c>
    </row>
    <row r="6" spans="1:20" ht="12.75" customHeight="1" x14ac:dyDescent="0.2">
      <c r="A6" s="35" t="s">
        <v>19</v>
      </c>
      <c r="B6" s="40" t="s">
        <v>68</v>
      </c>
      <c r="C6" s="103">
        <v>1.1395387117841399E-3</v>
      </c>
      <c r="D6" s="104" t="s">
        <v>132</v>
      </c>
      <c r="E6" s="67" t="s">
        <v>132</v>
      </c>
      <c r="F6" s="67" t="s">
        <v>132</v>
      </c>
      <c r="G6" s="67" t="s">
        <v>132</v>
      </c>
      <c r="H6" s="67" t="s">
        <v>132</v>
      </c>
      <c r="I6" s="67" t="s">
        <v>132</v>
      </c>
      <c r="J6" s="67" t="s">
        <v>132</v>
      </c>
      <c r="K6" s="67" t="s">
        <v>132</v>
      </c>
      <c r="L6" s="67" t="s">
        <v>132</v>
      </c>
      <c r="M6" s="67" t="s">
        <v>132</v>
      </c>
      <c r="N6" s="67" t="s">
        <v>132</v>
      </c>
      <c r="O6" s="67" t="s">
        <v>132</v>
      </c>
      <c r="P6" s="67" t="s">
        <v>132</v>
      </c>
      <c r="Q6" s="67" t="s">
        <v>132</v>
      </c>
      <c r="R6" s="67" t="s">
        <v>132</v>
      </c>
      <c r="S6" s="85" t="s">
        <v>132</v>
      </c>
      <c r="T6" s="89">
        <v>1.1395387117841399E-3</v>
      </c>
    </row>
    <row r="7" spans="1:20" ht="12.75" customHeight="1" x14ac:dyDescent="0.2">
      <c r="A7" s="36" t="s">
        <v>21</v>
      </c>
      <c r="B7" s="39" t="s">
        <v>68</v>
      </c>
      <c r="C7" s="105">
        <v>5.5252025185800399E-4</v>
      </c>
      <c r="D7" s="106" t="s">
        <v>132</v>
      </c>
      <c r="E7" s="66">
        <v>1.7430052787738201E-4</v>
      </c>
      <c r="F7" s="66">
        <v>3.9878852569256198E-4</v>
      </c>
      <c r="G7" s="66">
        <v>1.4123019719044701E-5</v>
      </c>
      <c r="H7" s="66">
        <v>1.8359022356557501E-4</v>
      </c>
      <c r="I7" s="66">
        <v>2.29244118695455E-3</v>
      </c>
      <c r="J7" s="66" t="s">
        <v>132</v>
      </c>
      <c r="K7" s="66" t="s">
        <v>132</v>
      </c>
      <c r="L7" s="66" t="s">
        <v>132</v>
      </c>
      <c r="M7" s="66">
        <v>6.9352390986067195E-5</v>
      </c>
      <c r="N7" s="66">
        <v>1.6076506275785898E-5</v>
      </c>
      <c r="O7" s="66" t="s">
        <v>132</v>
      </c>
      <c r="P7" s="66" t="s">
        <v>132</v>
      </c>
      <c r="Q7" s="66" t="s">
        <v>132</v>
      </c>
      <c r="R7" s="66" t="s">
        <v>132</v>
      </c>
      <c r="S7" s="84">
        <v>3.1860089863793E-3</v>
      </c>
      <c r="T7" s="88">
        <v>6.8872016193082704E-3</v>
      </c>
    </row>
    <row r="8" spans="1:20" ht="12.75" customHeight="1" x14ac:dyDescent="0.2">
      <c r="A8" s="35" t="s">
        <v>22</v>
      </c>
      <c r="B8" s="40" t="s">
        <v>68</v>
      </c>
      <c r="C8" s="103" t="s">
        <v>132</v>
      </c>
      <c r="D8" s="104" t="s">
        <v>132</v>
      </c>
      <c r="E8" s="67" t="s">
        <v>132</v>
      </c>
      <c r="F8" s="67" t="s">
        <v>132</v>
      </c>
      <c r="G8" s="67" t="s">
        <v>132</v>
      </c>
      <c r="H8" s="67" t="s">
        <v>132</v>
      </c>
      <c r="I8" s="67" t="s">
        <v>132</v>
      </c>
      <c r="J8" s="67" t="s">
        <v>132</v>
      </c>
      <c r="K8" s="67">
        <v>1.2654107590405899E-3</v>
      </c>
      <c r="L8" s="67" t="s">
        <v>132</v>
      </c>
      <c r="M8" s="67" t="s">
        <v>132</v>
      </c>
      <c r="N8" s="67" t="s">
        <v>132</v>
      </c>
      <c r="O8" s="67" t="s">
        <v>132</v>
      </c>
      <c r="P8" s="67" t="s">
        <v>132</v>
      </c>
      <c r="Q8" s="67" t="s">
        <v>132</v>
      </c>
      <c r="R8" s="67" t="s">
        <v>132</v>
      </c>
      <c r="S8" s="85" t="s">
        <v>132</v>
      </c>
      <c r="T8" s="89">
        <v>1.2654107590405899E-3</v>
      </c>
    </row>
    <row r="9" spans="1:20" ht="12.75" customHeight="1" x14ac:dyDescent="0.2">
      <c r="A9" s="36" t="s">
        <v>69</v>
      </c>
      <c r="B9" s="39" t="s">
        <v>68</v>
      </c>
      <c r="C9" s="105">
        <v>3.8935978555209899E-4</v>
      </c>
      <c r="D9" s="106" t="s">
        <v>132</v>
      </c>
      <c r="E9" s="66">
        <v>3.5595745905247101E-5</v>
      </c>
      <c r="F9" s="66">
        <v>1.3916678945509101E-4</v>
      </c>
      <c r="G9" s="66">
        <v>5.9822658774390003E-5</v>
      </c>
      <c r="H9" s="66">
        <v>5.4426438863973303E-5</v>
      </c>
      <c r="I9" s="66">
        <v>1.0046378859266401E-3</v>
      </c>
      <c r="J9" s="66">
        <v>1.9404853897147099E-5</v>
      </c>
      <c r="K9" s="66" t="s">
        <v>132</v>
      </c>
      <c r="L9" s="66" t="s">
        <v>132</v>
      </c>
      <c r="M9" s="66">
        <v>9.4270082802795304E-5</v>
      </c>
      <c r="N9" s="66" t="s">
        <v>132</v>
      </c>
      <c r="O9" s="66" t="s">
        <v>132</v>
      </c>
      <c r="P9" s="66" t="s">
        <v>132</v>
      </c>
      <c r="Q9" s="66" t="s">
        <v>132</v>
      </c>
      <c r="R9" s="66">
        <v>5.8559951165234003E-6</v>
      </c>
      <c r="S9" s="84">
        <v>2.55976165681491E-3</v>
      </c>
      <c r="T9" s="88">
        <v>4.3623018931088159E-3</v>
      </c>
    </row>
    <row r="10" spans="1:20" ht="12.75" customHeight="1" x14ac:dyDescent="0.2">
      <c r="A10" s="35" t="s">
        <v>77</v>
      </c>
      <c r="B10" s="40" t="s">
        <v>70</v>
      </c>
      <c r="C10" s="103">
        <v>1.90260416144003E-4</v>
      </c>
      <c r="D10" s="104" t="s">
        <v>132</v>
      </c>
      <c r="E10" s="67" t="s">
        <v>132</v>
      </c>
      <c r="F10" s="67" t="s">
        <v>132</v>
      </c>
      <c r="G10" s="67" t="s">
        <v>132</v>
      </c>
      <c r="H10" s="67" t="s">
        <v>132</v>
      </c>
      <c r="I10" s="67">
        <v>5.1870515288066196E-4</v>
      </c>
      <c r="J10" s="67" t="s">
        <v>132</v>
      </c>
      <c r="K10" s="67">
        <v>9.18186793472264E-4</v>
      </c>
      <c r="L10" s="67">
        <v>4.08434708771008E-3</v>
      </c>
      <c r="M10" s="67">
        <v>1.5592737784791199E-4</v>
      </c>
      <c r="N10" s="67" t="s">
        <v>132</v>
      </c>
      <c r="O10" s="67" t="s">
        <v>132</v>
      </c>
      <c r="P10" s="67" t="s">
        <v>132</v>
      </c>
      <c r="Q10" s="67" t="s">
        <v>132</v>
      </c>
      <c r="R10" s="67" t="s">
        <v>132</v>
      </c>
      <c r="S10" s="85">
        <v>1.6346003528653001E-3</v>
      </c>
      <c r="T10" s="89">
        <v>7.5020271809202212E-3</v>
      </c>
    </row>
    <row r="11" spans="1:20" ht="12.75" customHeight="1" x14ac:dyDescent="0.2">
      <c r="A11" s="36" t="s">
        <v>28</v>
      </c>
      <c r="B11" s="39" t="s">
        <v>70</v>
      </c>
      <c r="C11" s="105" t="s">
        <v>132</v>
      </c>
      <c r="D11" s="106" t="s">
        <v>132</v>
      </c>
      <c r="E11" s="66" t="s">
        <v>132</v>
      </c>
      <c r="F11" s="66" t="s">
        <v>132</v>
      </c>
      <c r="G11" s="66" t="s">
        <v>132</v>
      </c>
      <c r="H11" s="66" t="s">
        <v>132</v>
      </c>
      <c r="I11" s="66" t="s">
        <v>132</v>
      </c>
      <c r="J11" s="66" t="s">
        <v>132</v>
      </c>
      <c r="K11" s="66" t="s">
        <v>132</v>
      </c>
      <c r="L11" s="66" t="s">
        <v>132</v>
      </c>
      <c r="M11" s="66" t="s">
        <v>132</v>
      </c>
      <c r="N11" s="66" t="s">
        <v>132</v>
      </c>
      <c r="O11" s="66" t="s">
        <v>132</v>
      </c>
      <c r="P11" s="66" t="s">
        <v>132</v>
      </c>
      <c r="Q11" s="66" t="s">
        <v>132</v>
      </c>
      <c r="R11" s="66" t="s">
        <v>132</v>
      </c>
      <c r="S11" s="84">
        <v>4.3140901111412304E-3</v>
      </c>
      <c r="T11" s="88">
        <v>4.3140901111412304E-3</v>
      </c>
    </row>
    <row r="12" spans="1:20" ht="12.75" customHeight="1" x14ac:dyDescent="0.2">
      <c r="A12" s="35" t="s">
        <v>29</v>
      </c>
      <c r="B12" s="40" t="s">
        <v>70</v>
      </c>
      <c r="C12" s="103" t="s">
        <v>132</v>
      </c>
      <c r="D12" s="104" t="s">
        <v>132</v>
      </c>
      <c r="E12" s="67" t="s">
        <v>132</v>
      </c>
      <c r="F12" s="67" t="s">
        <v>132</v>
      </c>
      <c r="G12" s="67" t="s">
        <v>132</v>
      </c>
      <c r="H12" s="67" t="s">
        <v>132</v>
      </c>
      <c r="I12" s="67" t="s">
        <v>132</v>
      </c>
      <c r="J12" s="67" t="s">
        <v>132</v>
      </c>
      <c r="K12" s="67" t="s">
        <v>132</v>
      </c>
      <c r="L12" s="67" t="s">
        <v>132</v>
      </c>
      <c r="M12" s="67" t="s">
        <v>132</v>
      </c>
      <c r="N12" s="67" t="s">
        <v>132</v>
      </c>
      <c r="O12" s="67" t="s">
        <v>132</v>
      </c>
      <c r="P12" s="67" t="s">
        <v>132</v>
      </c>
      <c r="Q12" s="67" t="s">
        <v>132</v>
      </c>
      <c r="R12" s="67" t="s">
        <v>132</v>
      </c>
      <c r="S12" s="85">
        <v>1.7798989091048602E-5</v>
      </c>
      <c r="T12" s="89">
        <v>1.7798989091048602E-5</v>
      </c>
    </row>
    <row r="13" spans="1:20" ht="12.75" customHeight="1" x14ac:dyDescent="0.2">
      <c r="A13" s="36" t="s">
        <v>30</v>
      </c>
      <c r="B13" s="39" t="s">
        <v>70</v>
      </c>
      <c r="C13" s="105" t="s">
        <v>132</v>
      </c>
      <c r="D13" s="106" t="s">
        <v>132</v>
      </c>
      <c r="E13" s="66" t="s">
        <v>132</v>
      </c>
      <c r="F13" s="66">
        <v>8.6352912227766798E-5</v>
      </c>
      <c r="G13" s="66" t="s">
        <v>132</v>
      </c>
      <c r="H13" s="66">
        <v>4.7655357888936697E-5</v>
      </c>
      <c r="I13" s="66">
        <v>2.9589486742920301E-4</v>
      </c>
      <c r="J13" s="66" t="s">
        <v>132</v>
      </c>
      <c r="K13" s="66">
        <v>9.4153464793630993E-6</v>
      </c>
      <c r="L13" s="66" t="s">
        <v>132</v>
      </c>
      <c r="M13" s="66">
        <v>1.8027760555676999E-5</v>
      </c>
      <c r="N13" s="66" t="s">
        <v>132</v>
      </c>
      <c r="O13" s="66" t="s">
        <v>132</v>
      </c>
      <c r="P13" s="66" t="s">
        <v>132</v>
      </c>
      <c r="Q13" s="66" t="s">
        <v>132</v>
      </c>
      <c r="R13" s="66" t="s">
        <v>132</v>
      </c>
      <c r="S13" s="84">
        <v>9.3283104120051603E-3</v>
      </c>
      <c r="T13" s="88">
        <v>9.7856566565861069E-3</v>
      </c>
    </row>
    <row r="14" spans="1:20" ht="12.75" customHeight="1" x14ac:dyDescent="0.2">
      <c r="A14" s="35" t="s">
        <v>31</v>
      </c>
      <c r="B14" s="40" t="s">
        <v>70</v>
      </c>
      <c r="C14" s="103" t="s">
        <v>132</v>
      </c>
      <c r="D14" s="104" t="s">
        <v>132</v>
      </c>
      <c r="E14" s="67">
        <v>7.2344278241036396E-5</v>
      </c>
      <c r="F14" s="67">
        <v>2.1110223498099802E-3</v>
      </c>
      <c r="G14" s="67" t="s">
        <v>132</v>
      </c>
      <c r="H14" s="67" t="s">
        <v>132</v>
      </c>
      <c r="I14" s="67">
        <v>2.3823193655847199E-4</v>
      </c>
      <c r="J14" s="67" t="s">
        <v>132</v>
      </c>
      <c r="K14" s="67">
        <v>2.2651845285726698E-6</v>
      </c>
      <c r="L14" s="67" t="s">
        <v>132</v>
      </c>
      <c r="M14" s="67" t="s">
        <v>132</v>
      </c>
      <c r="N14" s="67" t="s">
        <v>132</v>
      </c>
      <c r="O14" s="67" t="s">
        <v>132</v>
      </c>
      <c r="P14" s="67" t="s">
        <v>132</v>
      </c>
      <c r="Q14" s="67" t="s">
        <v>132</v>
      </c>
      <c r="R14" s="67" t="s">
        <v>132</v>
      </c>
      <c r="S14" s="85">
        <v>1.60655385438406E-3</v>
      </c>
      <c r="T14" s="89">
        <v>4.0304176035221208E-3</v>
      </c>
    </row>
    <row r="15" spans="1:20" ht="12.75" customHeight="1" x14ac:dyDescent="0.2">
      <c r="A15" s="36" t="s">
        <v>20</v>
      </c>
      <c r="B15" s="39" t="s">
        <v>70</v>
      </c>
      <c r="C15" s="105" t="s">
        <v>132</v>
      </c>
      <c r="D15" s="106" t="s">
        <v>132</v>
      </c>
      <c r="E15" s="66" t="s">
        <v>132</v>
      </c>
      <c r="F15" s="66" t="s">
        <v>132</v>
      </c>
      <c r="G15" s="66">
        <v>5.8447797709769901E-5</v>
      </c>
      <c r="H15" s="66" t="s">
        <v>132</v>
      </c>
      <c r="I15" s="66" t="s">
        <v>132</v>
      </c>
      <c r="J15" s="66" t="s">
        <v>132</v>
      </c>
      <c r="K15" s="66" t="s">
        <v>132</v>
      </c>
      <c r="L15" s="66" t="s">
        <v>132</v>
      </c>
      <c r="M15" s="66" t="s">
        <v>132</v>
      </c>
      <c r="N15" s="66" t="s">
        <v>132</v>
      </c>
      <c r="O15" s="66" t="s">
        <v>132</v>
      </c>
      <c r="P15" s="66" t="s">
        <v>132</v>
      </c>
      <c r="Q15" s="66" t="s">
        <v>132</v>
      </c>
      <c r="R15" s="66" t="s">
        <v>132</v>
      </c>
      <c r="S15" s="84" t="s">
        <v>132</v>
      </c>
      <c r="T15" s="88">
        <v>5.8447797709769901E-5</v>
      </c>
    </row>
    <row r="16" spans="1:20" ht="12.75" customHeight="1" x14ac:dyDescent="0.2">
      <c r="A16" s="35" t="s">
        <v>32</v>
      </c>
      <c r="B16" s="40" t="s">
        <v>70</v>
      </c>
      <c r="C16" s="103">
        <v>1.14832187684185E-6</v>
      </c>
      <c r="D16" s="104" t="s">
        <v>132</v>
      </c>
      <c r="E16" s="67" t="s">
        <v>132</v>
      </c>
      <c r="F16" s="67">
        <v>4.0933880038766601E-4</v>
      </c>
      <c r="G16" s="67" t="s">
        <v>132</v>
      </c>
      <c r="H16" s="67">
        <v>5.1517188332328004E-6</v>
      </c>
      <c r="I16" s="67">
        <v>2.20002399209577E-4</v>
      </c>
      <c r="J16" s="67" t="s">
        <v>132</v>
      </c>
      <c r="K16" s="67">
        <v>3.1116844130193897E-5</v>
      </c>
      <c r="L16" s="67" t="s">
        <v>132</v>
      </c>
      <c r="M16" s="67">
        <v>1.72248281526277E-6</v>
      </c>
      <c r="N16" s="67" t="s">
        <v>132</v>
      </c>
      <c r="O16" s="67" t="s">
        <v>132</v>
      </c>
      <c r="P16" s="67" t="s">
        <v>132</v>
      </c>
      <c r="Q16" s="67" t="s">
        <v>132</v>
      </c>
      <c r="R16" s="67" t="s">
        <v>132</v>
      </c>
      <c r="S16" s="85">
        <v>6.9964029446241902E-3</v>
      </c>
      <c r="T16" s="89">
        <v>7.6648835118769644E-3</v>
      </c>
    </row>
    <row r="17" spans="1:20" ht="12.75" customHeight="1" x14ac:dyDescent="0.2">
      <c r="A17" s="36" t="s">
        <v>23</v>
      </c>
      <c r="B17" s="39" t="s">
        <v>71</v>
      </c>
      <c r="C17" s="105" t="s">
        <v>132</v>
      </c>
      <c r="D17" s="106" t="s">
        <v>132</v>
      </c>
      <c r="E17" s="66" t="s">
        <v>132</v>
      </c>
      <c r="F17" s="66" t="s">
        <v>132</v>
      </c>
      <c r="G17" s="66" t="s">
        <v>132</v>
      </c>
      <c r="H17" s="66" t="s">
        <v>132</v>
      </c>
      <c r="I17" s="66" t="s">
        <v>132</v>
      </c>
      <c r="J17" s="66" t="s">
        <v>132</v>
      </c>
      <c r="K17" s="66" t="s">
        <v>132</v>
      </c>
      <c r="L17" s="66">
        <v>4.8615249670928597E-3</v>
      </c>
      <c r="M17" s="66" t="s">
        <v>132</v>
      </c>
      <c r="N17" s="66" t="s">
        <v>132</v>
      </c>
      <c r="O17" s="66" t="s">
        <v>132</v>
      </c>
      <c r="P17" s="66" t="s">
        <v>132</v>
      </c>
      <c r="Q17" s="66" t="s">
        <v>132</v>
      </c>
      <c r="R17" s="66" t="s">
        <v>132</v>
      </c>
      <c r="S17" s="84" t="s">
        <v>132</v>
      </c>
      <c r="T17" s="88">
        <v>4.8615249670928597E-3</v>
      </c>
    </row>
    <row r="18" spans="1:20" ht="12.75" customHeight="1" x14ac:dyDescent="0.2">
      <c r="A18" s="35" t="s">
        <v>24</v>
      </c>
      <c r="B18" s="40" t="s">
        <v>72</v>
      </c>
      <c r="C18" s="103" t="s">
        <v>132</v>
      </c>
      <c r="D18" s="104" t="s">
        <v>132</v>
      </c>
      <c r="E18" s="67" t="s">
        <v>132</v>
      </c>
      <c r="F18" s="67" t="s">
        <v>132</v>
      </c>
      <c r="G18" s="67" t="s">
        <v>132</v>
      </c>
      <c r="H18" s="67" t="s">
        <v>132</v>
      </c>
      <c r="I18" s="67" t="s">
        <v>132</v>
      </c>
      <c r="J18" s="67" t="s">
        <v>132</v>
      </c>
      <c r="K18" s="67" t="s">
        <v>132</v>
      </c>
      <c r="L18" s="67" t="s">
        <v>132</v>
      </c>
      <c r="M18" s="67" t="s">
        <v>132</v>
      </c>
      <c r="N18" s="67" t="s">
        <v>132</v>
      </c>
      <c r="O18" s="67" t="s">
        <v>132</v>
      </c>
      <c r="P18" s="67">
        <v>2.4927318539509299E-2</v>
      </c>
      <c r="Q18" s="67" t="s">
        <v>132</v>
      </c>
      <c r="R18" s="67" t="s">
        <v>132</v>
      </c>
      <c r="S18" s="85" t="s">
        <v>132</v>
      </c>
      <c r="T18" s="89">
        <v>2.4927318539509299E-2</v>
      </c>
    </row>
    <row r="19" spans="1:20" ht="12.75" customHeight="1" x14ac:dyDescent="0.2">
      <c r="A19" s="36" t="s">
        <v>25</v>
      </c>
      <c r="B19" s="39" t="s">
        <v>72</v>
      </c>
      <c r="C19" s="105" t="s">
        <v>132</v>
      </c>
      <c r="D19" s="106" t="s">
        <v>132</v>
      </c>
      <c r="E19" s="66" t="s">
        <v>132</v>
      </c>
      <c r="F19" s="66" t="s">
        <v>132</v>
      </c>
      <c r="G19" s="66" t="s">
        <v>132</v>
      </c>
      <c r="H19" s="66" t="s">
        <v>132</v>
      </c>
      <c r="I19" s="66" t="s">
        <v>132</v>
      </c>
      <c r="J19" s="66" t="s">
        <v>132</v>
      </c>
      <c r="K19" s="66" t="s">
        <v>132</v>
      </c>
      <c r="L19" s="66" t="s">
        <v>132</v>
      </c>
      <c r="M19" s="66" t="s">
        <v>132</v>
      </c>
      <c r="N19" s="66" t="s">
        <v>132</v>
      </c>
      <c r="O19" s="66" t="s">
        <v>132</v>
      </c>
      <c r="P19" s="66">
        <v>3.0767662786528299E-2</v>
      </c>
      <c r="Q19" s="66" t="s">
        <v>132</v>
      </c>
      <c r="R19" s="66" t="s">
        <v>132</v>
      </c>
      <c r="S19" s="84" t="s">
        <v>132</v>
      </c>
      <c r="T19" s="88">
        <v>3.0767662786528299E-2</v>
      </c>
    </row>
    <row r="20" spans="1:20" ht="12.75" customHeight="1" x14ac:dyDescent="0.2">
      <c r="A20" s="35" t="s">
        <v>78</v>
      </c>
      <c r="B20" s="40" t="s">
        <v>72</v>
      </c>
      <c r="C20" s="103" t="s">
        <v>132</v>
      </c>
      <c r="D20" s="104" t="s">
        <v>132</v>
      </c>
      <c r="E20" s="67" t="s">
        <v>132</v>
      </c>
      <c r="F20" s="67" t="s">
        <v>132</v>
      </c>
      <c r="G20" s="67" t="s">
        <v>132</v>
      </c>
      <c r="H20" s="67" t="s">
        <v>132</v>
      </c>
      <c r="I20" s="67" t="s">
        <v>132</v>
      </c>
      <c r="J20" s="67" t="s">
        <v>132</v>
      </c>
      <c r="K20" s="67" t="s">
        <v>132</v>
      </c>
      <c r="L20" s="67" t="s">
        <v>132</v>
      </c>
      <c r="M20" s="67" t="s">
        <v>132</v>
      </c>
      <c r="N20" s="67" t="s">
        <v>132</v>
      </c>
      <c r="O20" s="67" t="s">
        <v>132</v>
      </c>
      <c r="P20" s="67" t="s">
        <v>132</v>
      </c>
      <c r="Q20" s="67">
        <v>4.9217713170413555E-4</v>
      </c>
      <c r="R20" s="67" t="s">
        <v>132</v>
      </c>
      <c r="S20" s="85" t="s">
        <v>132</v>
      </c>
      <c r="T20" s="89">
        <v>4.9217713170413555E-4</v>
      </c>
    </row>
    <row r="21" spans="1:20" ht="12.75" customHeight="1" x14ac:dyDescent="0.2">
      <c r="A21" s="36" t="s">
        <v>26</v>
      </c>
      <c r="B21" s="39" t="s">
        <v>72</v>
      </c>
      <c r="C21" s="105" t="s">
        <v>132</v>
      </c>
      <c r="D21" s="106" t="s">
        <v>132</v>
      </c>
      <c r="E21" s="66" t="s">
        <v>132</v>
      </c>
      <c r="F21" s="66" t="s">
        <v>132</v>
      </c>
      <c r="G21" s="66" t="s">
        <v>132</v>
      </c>
      <c r="H21" s="66" t="s">
        <v>132</v>
      </c>
      <c r="I21" s="66" t="s">
        <v>132</v>
      </c>
      <c r="J21" s="66" t="s">
        <v>132</v>
      </c>
      <c r="K21" s="66" t="s">
        <v>132</v>
      </c>
      <c r="L21" s="66" t="s">
        <v>132</v>
      </c>
      <c r="M21" s="66" t="s">
        <v>132</v>
      </c>
      <c r="N21" s="66" t="s">
        <v>132</v>
      </c>
      <c r="O21" s="66" t="s">
        <v>132</v>
      </c>
      <c r="P21" s="66">
        <v>5.7909173486639202E-3</v>
      </c>
      <c r="Q21" s="66" t="s">
        <v>132</v>
      </c>
      <c r="R21" s="66" t="s">
        <v>132</v>
      </c>
      <c r="S21" s="84" t="s">
        <v>132</v>
      </c>
      <c r="T21" s="88">
        <v>5.7909173486639202E-3</v>
      </c>
    </row>
    <row r="22" spans="1:20" ht="12.75" customHeight="1" thickBot="1" x14ac:dyDescent="0.25">
      <c r="A22" s="43" t="s">
        <v>27</v>
      </c>
      <c r="B22" s="42" t="s">
        <v>72</v>
      </c>
      <c r="C22" s="107" t="s">
        <v>132</v>
      </c>
      <c r="D22" s="108" t="s">
        <v>132</v>
      </c>
      <c r="E22" s="74" t="s">
        <v>132</v>
      </c>
      <c r="F22" s="74" t="s">
        <v>132</v>
      </c>
      <c r="G22" s="74" t="s">
        <v>132</v>
      </c>
      <c r="H22" s="74" t="s">
        <v>132</v>
      </c>
      <c r="I22" s="74" t="s">
        <v>132</v>
      </c>
      <c r="J22" s="74" t="s">
        <v>132</v>
      </c>
      <c r="K22" s="74" t="s">
        <v>132</v>
      </c>
      <c r="L22" s="74" t="s">
        <v>132</v>
      </c>
      <c r="M22" s="74" t="s">
        <v>132</v>
      </c>
      <c r="N22" s="74" t="s">
        <v>132</v>
      </c>
      <c r="O22" s="74" t="s">
        <v>132</v>
      </c>
      <c r="P22" s="74" t="s">
        <v>132</v>
      </c>
      <c r="Q22" s="74">
        <v>1.3588337766874899E-2</v>
      </c>
      <c r="R22" s="74" t="s">
        <v>132</v>
      </c>
      <c r="S22" s="86" t="s">
        <v>132</v>
      </c>
      <c r="T22" s="75">
        <v>1.3588337766874899E-2</v>
      </c>
    </row>
    <row r="23" spans="1:20" ht="12.75" customHeight="1" thickTop="1" thickBot="1" x14ac:dyDescent="0.25">
      <c r="A23" s="34" t="s">
        <v>0</v>
      </c>
      <c r="B23" s="41"/>
      <c r="C23" s="101">
        <v>1.9811902971669966E-2</v>
      </c>
      <c r="D23" s="102" t="s">
        <v>132</v>
      </c>
      <c r="E23" s="73">
        <v>6.2801496496669128E-3</v>
      </c>
      <c r="F23" s="73">
        <v>7.9535710849386512E-3</v>
      </c>
      <c r="G23" s="73">
        <v>1.6672651449929575E-4</v>
      </c>
      <c r="H23" s="73">
        <v>2.9828783135118982E-4</v>
      </c>
      <c r="I23" s="73">
        <v>4.9818312404494199E-3</v>
      </c>
      <c r="J23" s="73">
        <v>1.9404853897147099E-5</v>
      </c>
      <c r="K23" s="73">
        <v>2.2263949276509834E-3</v>
      </c>
      <c r="L23" s="73">
        <v>8.9458720548029405E-3</v>
      </c>
      <c r="M23" s="73">
        <v>5.6424340347530153E-4</v>
      </c>
      <c r="N23" s="73">
        <v>9.9556381534597962E-5</v>
      </c>
      <c r="O23" s="73" t="s">
        <v>132</v>
      </c>
      <c r="P23" s="73">
        <v>6.1485898674701514E-2</v>
      </c>
      <c r="Q23" s="73">
        <v>1.4080514898579035E-2</v>
      </c>
      <c r="R23" s="73">
        <v>5.2932727513338899E-5</v>
      </c>
      <c r="S23" s="87">
        <v>3.0063324319424156E-2</v>
      </c>
      <c r="T23" s="90">
        <v>0.15703061153415443</v>
      </c>
    </row>
    <row r="26" spans="1:20" ht="15" x14ac:dyDescent="0.25">
      <c r="A26" s="100" t="s">
        <v>97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0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ht="13.5" thickBot="1" x14ac:dyDescent="0.25">
      <c r="A28" s="31" t="s">
        <v>133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39" thickBot="1" x14ac:dyDescent="0.25">
      <c r="A29" s="38" t="s">
        <v>65</v>
      </c>
      <c r="B29" s="37" t="s">
        <v>73</v>
      </c>
      <c r="C29" s="45" t="s">
        <v>74</v>
      </c>
      <c r="D29" s="46" t="s">
        <v>75</v>
      </c>
      <c r="E29" s="32" t="s">
        <v>50</v>
      </c>
      <c r="F29" s="32" t="s">
        <v>51</v>
      </c>
      <c r="G29" s="32" t="s">
        <v>52</v>
      </c>
      <c r="H29" s="32" t="s">
        <v>53</v>
      </c>
      <c r="I29" s="32" t="s">
        <v>63</v>
      </c>
      <c r="J29" s="32" t="s">
        <v>54</v>
      </c>
      <c r="K29" s="32" t="s">
        <v>55</v>
      </c>
      <c r="L29" s="32" t="s">
        <v>56</v>
      </c>
      <c r="M29" s="32" t="s">
        <v>57</v>
      </c>
      <c r="N29" s="32" t="s">
        <v>58</v>
      </c>
      <c r="O29" s="32" t="s">
        <v>59</v>
      </c>
      <c r="P29" s="32" t="s">
        <v>60</v>
      </c>
      <c r="Q29" s="32" t="s">
        <v>61</v>
      </c>
      <c r="R29" s="32" t="s">
        <v>81</v>
      </c>
      <c r="S29" s="44" t="s">
        <v>62</v>
      </c>
      <c r="T29" s="33" t="s">
        <v>0</v>
      </c>
    </row>
    <row r="30" spans="1:20" x14ac:dyDescent="0.2">
      <c r="A30" s="36" t="s">
        <v>67</v>
      </c>
      <c r="B30" s="39" t="s">
        <v>68</v>
      </c>
      <c r="C30" s="93">
        <v>1.0763766005930453E-2</v>
      </c>
      <c r="D30" s="94">
        <v>1.4668164775177748E-3</v>
      </c>
      <c r="E30" s="66">
        <v>2.9816378579361311E-3</v>
      </c>
      <c r="F30" s="66">
        <v>2.8536247835345809E-3</v>
      </c>
      <c r="G30" s="66">
        <v>2.1335512400258499E-5</v>
      </c>
      <c r="H30" s="66" t="s">
        <v>132</v>
      </c>
      <c r="I30" s="66">
        <v>2.5602614880310262E-4</v>
      </c>
      <c r="J30" s="66" t="s">
        <v>132</v>
      </c>
      <c r="K30" s="66" t="s">
        <v>132</v>
      </c>
      <c r="L30" s="66" t="s">
        <v>132</v>
      </c>
      <c r="M30" s="66">
        <v>1.5468246490187444E-4</v>
      </c>
      <c r="N30" s="66">
        <v>3.7337146700452484E-5</v>
      </c>
      <c r="O30" s="66" t="s">
        <v>132</v>
      </c>
      <c r="P30" s="66" t="s">
        <v>132</v>
      </c>
      <c r="Q30" s="66" t="s">
        <v>132</v>
      </c>
      <c r="R30" s="66">
        <v>5.3338781000646401E-5</v>
      </c>
      <c r="S30" s="84">
        <v>3.5203595460426581E-4</v>
      </c>
      <c r="T30" s="88">
        <v>1.8940601133329536E-2</v>
      </c>
    </row>
    <row r="31" spans="1:20" x14ac:dyDescent="0.2">
      <c r="A31" s="35" t="s">
        <v>19</v>
      </c>
      <c r="B31" s="40" t="s">
        <v>68</v>
      </c>
      <c r="C31" s="103">
        <v>8.3741886171014805E-4</v>
      </c>
      <c r="D31" s="104" t="s">
        <v>132</v>
      </c>
      <c r="E31" s="67" t="s">
        <v>132</v>
      </c>
      <c r="F31" s="67" t="s">
        <v>132</v>
      </c>
      <c r="G31" s="67" t="s">
        <v>132</v>
      </c>
      <c r="H31" s="67" t="s">
        <v>132</v>
      </c>
      <c r="I31" s="67" t="s">
        <v>132</v>
      </c>
      <c r="J31" s="67" t="s">
        <v>132</v>
      </c>
      <c r="K31" s="67" t="s">
        <v>132</v>
      </c>
      <c r="L31" s="67" t="s">
        <v>132</v>
      </c>
      <c r="M31" s="67" t="s">
        <v>132</v>
      </c>
      <c r="N31" s="67" t="s">
        <v>132</v>
      </c>
      <c r="O31" s="67" t="s">
        <v>132</v>
      </c>
      <c r="P31" s="67" t="s">
        <v>132</v>
      </c>
      <c r="Q31" s="67" t="s">
        <v>132</v>
      </c>
      <c r="R31" s="67" t="s">
        <v>132</v>
      </c>
      <c r="S31" s="85" t="s">
        <v>132</v>
      </c>
      <c r="T31" s="89">
        <v>8.3741886171014805E-4</v>
      </c>
    </row>
    <row r="32" spans="1:20" x14ac:dyDescent="0.2">
      <c r="A32" s="36" t="s">
        <v>21</v>
      </c>
      <c r="B32" s="39" t="s">
        <v>68</v>
      </c>
      <c r="C32" s="105">
        <v>6.2406373770756203E-4</v>
      </c>
      <c r="D32" s="106" t="s">
        <v>132</v>
      </c>
      <c r="E32" s="66">
        <v>1.7601797730213301E-4</v>
      </c>
      <c r="F32" s="66">
        <v>2.8269553930342599E-4</v>
      </c>
      <c r="G32" s="66">
        <v>1.60016343001939E-5</v>
      </c>
      <c r="H32" s="66">
        <v>1.2801307440155101E-4</v>
      </c>
      <c r="I32" s="66">
        <v>1.8721912131226899E-3</v>
      </c>
      <c r="J32" s="66" t="s">
        <v>132</v>
      </c>
      <c r="K32" s="66" t="s">
        <v>132</v>
      </c>
      <c r="L32" s="66" t="s">
        <v>132</v>
      </c>
      <c r="M32" s="66">
        <v>7.46742934009049E-5</v>
      </c>
      <c r="N32" s="66" t="s">
        <v>132</v>
      </c>
      <c r="O32" s="66" t="s">
        <v>132</v>
      </c>
      <c r="P32" s="66" t="s">
        <v>132</v>
      </c>
      <c r="Q32" s="66" t="s">
        <v>132</v>
      </c>
      <c r="R32" s="66" t="s">
        <v>132</v>
      </c>
      <c r="S32" s="84">
        <v>3.29633666583994E-3</v>
      </c>
      <c r="T32" s="88">
        <v>6.4699941353784009E-3</v>
      </c>
    </row>
    <row r="33" spans="1:20" x14ac:dyDescent="0.2">
      <c r="A33" s="35" t="s">
        <v>22</v>
      </c>
      <c r="B33" s="40" t="s">
        <v>68</v>
      </c>
      <c r="C33" s="103" t="s">
        <v>132</v>
      </c>
      <c r="D33" s="104" t="s">
        <v>132</v>
      </c>
      <c r="E33" s="67" t="s">
        <v>132</v>
      </c>
      <c r="F33" s="67" t="s">
        <v>132</v>
      </c>
      <c r="G33" s="67" t="s">
        <v>132</v>
      </c>
      <c r="H33" s="67" t="s">
        <v>132</v>
      </c>
      <c r="I33" s="67" t="s">
        <v>132</v>
      </c>
      <c r="J33" s="67" t="s">
        <v>132</v>
      </c>
      <c r="K33" s="67">
        <v>1.28546462561274E-3</v>
      </c>
      <c r="L33" s="67" t="s">
        <v>132</v>
      </c>
      <c r="M33" s="67" t="s">
        <v>132</v>
      </c>
      <c r="N33" s="67" t="s">
        <v>132</v>
      </c>
      <c r="O33" s="67" t="s">
        <v>132</v>
      </c>
      <c r="P33" s="67" t="s">
        <v>132</v>
      </c>
      <c r="Q33" s="67" t="s">
        <v>132</v>
      </c>
      <c r="R33" s="67" t="s">
        <v>132</v>
      </c>
      <c r="S33" s="85" t="s">
        <v>132</v>
      </c>
      <c r="T33" s="89">
        <v>1.28546462561274E-3</v>
      </c>
    </row>
    <row r="34" spans="1:20" x14ac:dyDescent="0.2">
      <c r="A34" s="36" t="s">
        <v>69</v>
      </c>
      <c r="B34" s="39" t="s">
        <v>68</v>
      </c>
      <c r="C34" s="105">
        <v>4.3204412610523598E-4</v>
      </c>
      <c r="D34" s="106" t="s">
        <v>132</v>
      </c>
      <c r="E34" s="66">
        <v>2.66693905003232E-5</v>
      </c>
      <c r="F34" s="66">
        <v>1.1734531820142199E-4</v>
      </c>
      <c r="G34" s="66">
        <v>5.8672659100710997E-5</v>
      </c>
      <c r="H34" s="66">
        <v>4.8004902900581703E-5</v>
      </c>
      <c r="I34" s="66">
        <v>8.9075764271079403E-4</v>
      </c>
      <c r="J34" s="66">
        <v>2.1335512400258499E-5</v>
      </c>
      <c r="K34" s="66" t="s">
        <v>132</v>
      </c>
      <c r="L34" s="66" t="s">
        <v>132</v>
      </c>
      <c r="M34" s="66">
        <v>8.5342049601034201E-5</v>
      </c>
      <c r="N34" s="66" t="s">
        <v>132</v>
      </c>
      <c r="O34" s="66" t="s">
        <v>132</v>
      </c>
      <c r="P34" s="66" t="s">
        <v>132</v>
      </c>
      <c r="Q34" s="66" t="s">
        <v>132</v>
      </c>
      <c r="R34" s="66">
        <v>5.3338781000646401E-6</v>
      </c>
      <c r="S34" s="84">
        <v>2.4482500479296701E-3</v>
      </c>
      <c r="T34" s="88">
        <v>4.133755527550095E-3</v>
      </c>
    </row>
    <row r="35" spans="1:20" x14ac:dyDescent="0.2">
      <c r="A35" s="35" t="s">
        <v>77</v>
      </c>
      <c r="B35" s="40" t="s">
        <v>70</v>
      </c>
      <c r="C35" s="103">
        <v>1.9735348970239199E-4</v>
      </c>
      <c r="D35" s="104" t="s">
        <v>132</v>
      </c>
      <c r="E35" s="67" t="s">
        <v>132</v>
      </c>
      <c r="F35" s="67" t="s">
        <v>132</v>
      </c>
      <c r="G35" s="67" t="s">
        <v>132</v>
      </c>
      <c r="H35" s="67" t="s">
        <v>132</v>
      </c>
      <c r="I35" s="67">
        <v>5.2272005380633402E-4</v>
      </c>
      <c r="J35" s="67" t="s">
        <v>132</v>
      </c>
      <c r="K35" s="67">
        <v>9.44096423711441E-4</v>
      </c>
      <c r="L35" s="67">
        <v>4.5978029222557204E-3</v>
      </c>
      <c r="M35" s="67">
        <v>1.7601797730213301E-4</v>
      </c>
      <c r="N35" s="67" t="s">
        <v>132</v>
      </c>
      <c r="O35" s="67" t="s">
        <v>132</v>
      </c>
      <c r="P35" s="67" t="s">
        <v>132</v>
      </c>
      <c r="Q35" s="67" t="s">
        <v>132</v>
      </c>
      <c r="R35" s="67" t="s">
        <v>132</v>
      </c>
      <c r="S35" s="85">
        <v>1.78151528542159E-3</v>
      </c>
      <c r="T35" s="89">
        <v>8.2195061521996102E-3</v>
      </c>
    </row>
    <row r="36" spans="1:20" x14ac:dyDescent="0.2">
      <c r="A36" s="36" t="s">
        <v>28</v>
      </c>
      <c r="B36" s="39" t="s">
        <v>70</v>
      </c>
      <c r="C36" s="105" t="s">
        <v>132</v>
      </c>
      <c r="D36" s="106" t="s">
        <v>132</v>
      </c>
      <c r="E36" s="66" t="s">
        <v>132</v>
      </c>
      <c r="F36" s="66" t="s">
        <v>132</v>
      </c>
      <c r="G36" s="66" t="s">
        <v>132</v>
      </c>
      <c r="H36" s="66" t="s">
        <v>132</v>
      </c>
      <c r="I36" s="66" t="s">
        <v>132</v>
      </c>
      <c r="J36" s="66" t="s">
        <v>132</v>
      </c>
      <c r="K36" s="66" t="s">
        <v>132</v>
      </c>
      <c r="L36" s="66" t="s">
        <v>132</v>
      </c>
      <c r="M36" s="66" t="s">
        <v>132</v>
      </c>
      <c r="N36" s="66" t="s">
        <v>132</v>
      </c>
      <c r="O36" s="66" t="s">
        <v>132</v>
      </c>
      <c r="P36" s="66" t="s">
        <v>132</v>
      </c>
      <c r="Q36" s="66" t="s">
        <v>132</v>
      </c>
      <c r="R36" s="66" t="s">
        <v>132</v>
      </c>
      <c r="S36" s="84">
        <v>4.5978029222557204E-3</v>
      </c>
      <c r="T36" s="88">
        <v>4.5978029222557204E-3</v>
      </c>
    </row>
    <row r="37" spans="1:20" x14ac:dyDescent="0.2">
      <c r="A37" s="35" t="s">
        <v>29</v>
      </c>
      <c r="B37" s="40" t="s">
        <v>70</v>
      </c>
      <c r="C37" s="103" t="s">
        <v>132</v>
      </c>
      <c r="D37" s="104" t="s">
        <v>132</v>
      </c>
      <c r="E37" s="67" t="s">
        <v>132</v>
      </c>
      <c r="F37" s="67" t="s">
        <v>132</v>
      </c>
      <c r="G37" s="67" t="s">
        <v>132</v>
      </c>
      <c r="H37" s="67" t="s">
        <v>132</v>
      </c>
      <c r="I37" s="67" t="s">
        <v>132</v>
      </c>
      <c r="J37" s="67" t="s">
        <v>132</v>
      </c>
      <c r="K37" s="67" t="s">
        <v>132</v>
      </c>
      <c r="L37" s="67" t="s">
        <v>132</v>
      </c>
      <c r="M37" s="67" t="s">
        <v>132</v>
      </c>
      <c r="N37" s="67" t="s">
        <v>132</v>
      </c>
      <c r="O37" s="67" t="s">
        <v>132</v>
      </c>
      <c r="P37" s="67" t="s">
        <v>132</v>
      </c>
      <c r="Q37" s="67" t="s">
        <v>132</v>
      </c>
      <c r="R37" s="67" t="s">
        <v>132</v>
      </c>
      <c r="S37" s="85" t="s">
        <v>132</v>
      </c>
      <c r="T37" s="89" t="s">
        <v>132</v>
      </c>
    </row>
    <row r="38" spans="1:20" x14ac:dyDescent="0.2">
      <c r="A38" s="36" t="s">
        <v>30</v>
      </c>
      <c r="B38" s="39" t="s">
        <v>70</v>
      </c>
      <c r="C38" s="105" t="s">
        <v>132</v>
      </c>
      <c r="D38" s="106" t="s">
        <v>132</v>
      </c>
      <c r="E38" s="66" t="s">
        <v>132</v>
      </c>
      <c r="F38" s="66">
        <v>1.0667756200129301E-5</v>
      </c>
      <c r="G38" s="66" t="s">
        <v>132</v>
      </c>
      <c r="H38" s="66" t="s">
        <v>132</v>
      </c>
      <c r="I38" s="66">
        <v>3.3070044220400699E-4</v>
      </c>
      <c r="J38" s="66" t="s">
        <v>132</v>
      </c>
      <c r="K38" s="66">
        <v>1.0667756200129301E-5</v>
      </c>
      <c r="L38" s="66" t="s">
        <v>132</v>
      </c>
      <c r="M38" s="66">
        <v>1.0667756200129301E-5</v>
      </c>
      <c r="N38" s="66" t="s">
        <v>132</v>
      </c>
      <c r="O38" s="66" t="s">
        <v>132</v>
      </c>
      <c r="P38" s="66" t="s">
        <v>132</v>
      </c>
      <c r="Q38" s="66" t="s">
        <v>132</v>
      </c>
      <c r="R38" s="66" t="s">
        <v>132</v>
      </c>
      <c r="S38" s="84">
        <v>9.0089201110091707E-3</v>
      </c>
      <c r="T38" s="88">
        <v>9.3716238218135659E-3</v>
      </c>
    </row>
    <row r="39" spans="1:20" x14ac:dyDescent="0.2">
      <c r="A39" s="35" t="s">
        <v>31</v>
      </c>
      <c r="B39" s="40" t="s">
        <v>70</v>
      </c>
      <c r="C39" s="103" t="s">
        <v>132</v>
      </c>
      <c r="D39" s="104" t="s">
        <v>132</v>
      </c>
      <c r="E39" s="67" t="s">
        <v>132</v>
      </c>
      <c r="F39" s="67">
        <v>2.0002042875242399E-3</v>
      </c>
      <c r="G39" s="67" t="s">
        <v>132</v>
      </c>
      <c r="H39" s="67" t="s">
        <v>132</v>
      </c>
      <c r="I39" s="67">
        <v>1.6001634300193899E-4</v>
      </c>
      <c r="J39" s="67" t="s">
        <v>132</v>
      </c>
      <c r="K39" s="67" t="s">
        <v>132</v>
      </c>
      <c r="L39" s="67" t="s">
        <v>132</v>
      </c>
      <c r="M39" s="67" t="s">
        <v>132</v>
      </c>
      <c r="N39" s="67" t="s">
        <v>132</v>
      </c>
      <c r="O39" s="67" t="s">
        <v>132</v>
      </c>
      <c r="P39" s="67" t="s">
        <v>132</v>
      </c>
      <c r="Q39" s="67" t="s">
        <v>132</v>
      </c>
      <c r="R39" s="67" t="s">
        <v>132</v>
      </c>
      <c r="S39" s="85">
        <v>4.3737800420529999E-4</v>
      </c>
      <c r="T39" s="89">
        <v>2.5975986347314792E-3</v>
      </c>
    </row>
    <row r="40" spans="1:20" x14ac:dyDescent="0.2">
      <c r="A40" s="36" t="s">
        <v>20</v>
      </c>
      <c r="B40" s="39" t="s">
        <v>70</v>
      </c>
      <c r="C40" s="105" t="s">
        <v>132</v>
      </c>
      <c r="D40" s="106" t="s">
        <v>132</v>
      </c>
      <c r="E40" s="66" t="s">
        <v>132</v>
      </c>
      <c r="F40" s="66" t="s">
        <v>132</v>
      </c>
      <c r="G40" s="66">
        <v>2.1335512400258499E-5</v>
      </c>
      <c r="H40" s="66" t="s">
        <v>132</v>
      </c>
      <c r="I40" s="66" t="s">
        <v>132</v>
      </c>
      <c r="J40" s="66" t="s">
        <v>132</v>
      </c>
      <c r="K40" s="66" t="s">
        <v>132</v>
      </c>
      <c r="L40" s="66" t="s">
        <v>132</v>
      </c>
      <c r="M40" s="66" t="s">
        <v>132</v>
      </c>
      <c r="N40" s="66" t="s">
        <v>132</v>
      </c>
      <c r="O40" s="66" t="s">
        <v>132</v>
      </c>
      <c r="P40" s="66" t="s">
        <v>132</v>
      </c>
      <c r="Q40" s="66" t="s">
        <v>132</v>
      </c>
      <c r="R40" s="66" t="s">
        <v>132</v>
      </c>
      <c r="S40" s="84" t="s">
        <v>132</v>
      </c>
      <c r="T40" s="88">
        <v>2.1335512400258499E-5</v>
      </c>
    </row>
    <row r="41" spans="1:20" x14ac:dyDescent="0.2">
      <c r="A41" s="35" t="s">
        <v>32</v>
      </c>
      <c r="B41" s="40" t="s">
        <v>70</v>
      </c>
      <c r="C41" s="103" t="s">
        <v>132</v>
      </c>
      <c r="D41" s="104" t="s">
        <v>132</v>
      </c>
      <c r="E41" s="67" t="s">
        <v>132</v>
      </c>
      <c r="F41" s="67">
        <v>4.5337963850549398E-4</v>
      </c>
      <c r="G41" s="67" t="s">
        <v>132</v>
      </c>
      <c r="H41" s="67" t="s">
        <v>132</v>
      </c>
      <c r="I41" s="67">
        <v>1.92019611602327E-4</v>
      </c>
      <c r="J41" s="67" t="s">
        <v>132</v>
      </c>
      <c r="K41" s="67">
        <v>3.20032686003878E-5</v>
      </c>
      <c r="L41" s="67" t="s">
        <v>132</v>
      </c>
      <c r="M41" s="67" t="s">
        <v>132</v>
      </c>
      <c r="N41" s="67" t="s">
        <v>132</v>
      </c>
      <c r="O41" s="67" t="s">
        <v>132</v>
      </c>
      <c r="P41" s="67" t="s">
        <v>132</v>
      </c>
      <c r="Q41" s="67" t="s">
        <v>132</v>
      </c>
      <c r="R41" s="67" t="s">
        <v>132</v>
      </c>
      <c r="S41" s="85">
        <v>6.72602028418151E-3</v>
      </c>
      <c r="T41" s="89">
        <v>7.4034228028897189E-3</v>
      </c>
    </row>
    <row r="42" spans="1:20" x14ac:dyDescent="0.2">
      <c r="A42" s="36" t="s">
        <v>23</v>
      </c>
      <c r="B42" s="39" t="s">
        <v>71</v>
      </c>
      <c r="C42" s="105" t="s">
        <v>132</v>
      </c>
      <c r="D42" s="106" t="s">
        <v>132</v>
      </c>
      <c r="E42" s="66" t="s">
        <v>132</v>
      </c>
      <c r="F42" s="66" t="s">
        <v>132</v>
      </c>
      <c r="G42" s="66" t="s">
        <v>132</v>
      </c>
      <c r="H42" s="66" t="s">
        <v>132</v>
      </c>
      <c r="I42" s="66" t="s">
        <v>132</v>
      </c>
      <c r="J42" s="66" t="s">
        <v>132</v>
      </c>
      <c r="K42" s="66" t="s">
        <v>132</v>
      </c>
      <c r="L42" s="66">
        <v>5.3605474905649604E-3</v>
      </c>
      <c r="M42" s="66" t="s">
        <v>132</v>
      </c>
      <c r="N42" s="66" t="s">
        <v>132</v>
      </c>
      <c r="O42" s="66" t="s">
        <v>132</v>
      </c>
      <c r="P42" s="66" t="s">
        <v>132</v>
      </c>
      <c r="Q42" s="66" t="s">
        <v>132</v>
      </c>
      <c r="R42" s="66" t="s">
        <v>132</v>
      </c>
      <c r="S42" s="84" t="s">
        <v>132</v>
      </c>
      <c r="T42" s="88">
        <v>5.3605474905649604E-3</v>
      </c>
    </row>
    <row r="43" spans="1:20" x14ac:dyDescent="0.2">
      <c r="A43" s="35" t="s">
        <v>24</v>
      </c>
      <c r="B43" s="40" t="s">
        <v>72</v>
      </c>
      <c r="C43" s="103" t="s">
        <v>132</v>
      </c>
      <c r="D43" s="104" t="s">
        <v>132</v>
      </c>
      <c r="E43" s="67" t="s">
        <v>132</v>
      </c>
      <c r="F43" s="67" t="s">
        <v>132</v>
      </c>
      <c r="G43" s="67" t="s">
        <v>132</v>
      </c>
      <c r="H43" s="67" t="s">
        <v>132</v>
      </c>
      <c r="I43" s="67" t="s">
        <v>132</v>
      </c>
      <c r="J43" s="67" t="s">
        <v>132</v>
      </c>
      <c r="K43" s="67" t="s">
        <v>132</v>
      </c>
      <c r="L43" s="67" t="s">
        <v>132</v>
      </c>
      <c r="M43" s="67" t="s">
        <v>132</v>
      </c>
      <c r="N43" s="67" t="s">
        <v>132</v>
      </c>
      <c r="O43" s="67" t="s">
        <v>132</v>
      </c>
      <c r="P43" s="67">
        <v>2.7661491826935201E-2</v>
      </c>
      <c r="Q43" s="67" t="s">
        <v>132</v>
      </c>
      <c r="R43" s="67" t="s">
        <v>132</v>
      </c>
      <c r="S43" s="85" t="s">
        <v>132</v>
      </c>
      <c r="T43" s="89">
        <v>2.7661491826935201E-2</v>
      </c>
    </row>
    <row r="44" spans="1:20" x14ac:dyDescent="0.2">
      <c r="A44" s="36" t="s">
        <v>25</v>
      </c>
      <c r="B44" s="39" t="s">
        <v>72</v>
      </c>
      <c r="C44" s="105" t="s">
        <v>132</v>
      </c>
      <c r="D44" s="106" t="s">
        <v>132</v>
      </c>
      <c r="E44" s="66" t="s">
        <v>132</v>
      </c>
      <c r="F44" s="66" t="s">
        <v>132</v>
      </c>
      <c r="G44" s="66" t="s">
        <v>132</v>
      </c>
      <c r="H44" s="66" t="s">
        <v>132</v>
      </c>
      <c r="I44" s="66" t="s">
        <v>132</v>
      </c>
      <c r="J44" s="66" t="s">
        <v>132</v>
      </c>
      <c r="K44" s="66" t="s">
        <v>132</v>
      </c>
      <c r="L44" s="66" t="s">
        <v>132</v>
      </c>
      <c r="M44" s="66" t="s">
        <v>132</v>
      </c>
      <c r="N44" s="66" t="s">
        <v>132</v>
      </c>
      <c r="O44" s="66" t="s">
        <v>132</v>
      </c>
      <c r="P44" s="66">
        <v>3.1749909390634802E-2</v>
      </c>
      <c r="Q44" s="66" t="s">
        <v>132</v>
      </c>
      <c r="R44" s="66" t="s">
        <v>132</v>
      </c>
      <c r="S44" s="84" t="s">
        <v>132</v>
      </c>
      <c r="T44" s="88">
        <v>3.1749909390634802E-2</v>
      </c>
    </row>
    <row r="45" spans="1:20" x14ac:dyDescent="0.2">
      <c r="A45" s="35" t="s">
        <v>78</v>
      </c>
      <c r="B45" s="40" t="s">
        <v>72</v>
      </c>
      <c r="C45" s="103" t="s">
        <v>132</v>
      </c>
      <c r="D45" s="104" t="s">
        <v>132</v>
      </c>
      <c r="E45" s="67" t="s">
        <v>132</v>
      </c>
      <c r="F45" s="67" t="s">
        <v>132</v>
      </c>
      <c r="G45" s="67" t="s">
        <v>132</v>
      </c>
      <c r="H45" s="67" t="s">
        <v>132</v>
      </c>
      <c r="I45" s="67" t="s">
        <v>132</v>
      </c>
      <c r="J45" s="67" t="s">
        <v>132</v>
      </c>
      <c r="K45" s="67" t="s">
        <v>132</v>
      </c>
      <c r="L45" s="67" t="s">
        <v>132</v>
      </c>
      <c r="M45" s="67" t="s">
        <v>132</v>
      </c>
      <c r="N45" s="67" t="s">
        <v>132</v>
      </c>
      <c r="O45" s="67" t="s">
        <v>132</v>
      </c>
      <c r="P45" s="67" t="s">
        <v>132</v>
      </c>
      <c r="Q45" s="67">
        <v>5.4405556620659278E-4</v>
      </c>
      <c r="R45" s="67" t="s">
        <v>132</v>
      </c>
      <c r="S45" s="85" t="s">
        <v>132</v>
      </c>
      <c r="T45" s="89">
        <v>5.4405556620659278E-4</v>
      </c>
    </row>
    <row r="46" spans="1:20" x14ac:dyDescent="0.2">
      <c r="A46" s="36" t="s">
        <v>26</v>
      </c>
      <c r="B46" s="39" t="s">
        <v>72</v>
      </c>
      <c r="C46" s="105" t="s">
        <v>132</v>
      </c>
      <c r="D46" s="106" t="s">
        <v>132</v>
      </c>
      <c r="E46" s="66" t="s">
        <v>132</v>
      </c>
      <c r="F46" s="66" t="s">
        <v>132</v>
      </c>
      <c r="G46" s="66" t="s">
        <v>132</v>
      </c>
      <c r="H46" s="66" t="s">
        <v>132</v>
      </c>
      <c r="I46" s="66" t="s">
        <v>132</v>
      </c>
      <c r="J46" s="66" t="s">
        <v>132</v>
      </c>
      <c r="K46" s="66" t="s">
        <v>132</v>
      </c>
      <c r="L46" s="66" t="s">
        <v>132</v>
      </c>
      <c r="M46" s="66" t="s">
        <v>132</v>
      </c>
      <c r="N46" s="66" t="s">
        <v>132</v>
      </c>
      <c r="O46" s="66" t="s">
        <v>132</v>
      </c>
      <c r="P46" s="66">
        <v>6.3046439142763998E-3</v>
      </c>
      <c r="Q46" s="66" t="s">
        <v>132</v>
      </c>
      <c r="R46" s="66" t="s">
        <v>132</v>
      </c>
      <c r="S46" s="84" t="s">
        <v>132</v>
      </c>
      <c r="T46" s="88">
        <v>6.3046439142763998E-3</v>
      </c>
    </row>
    <row r="47" spans="1:20" ht="13.5" thickBot="1" x14ac:dyDescent="0.25">
      <c r="A47" s="43" t="s">
        <v>27</v>
      </c>
      <c r="B47" s="42" t="s">
        <v>72</v>
      </c>
      <c r="C47" s="107" t="s">
        <v>132</v>
      </c>
      <c r="D47" s="108" t="s">
        <v>132</v>
      </c>
      <c r="E47" s="74" t="s">
        <v>132</v>
      </c>
      <c r="F47" s="74" t="s">
        <v>132</v>
      </c>
      <c r="G47" s="74" t="s">
        <v>132</v>
      </c>
      <c r="H47" s="74" t="s">
        <v>132</v>
      </c>
      <c r="I47" s="74" t="s">
        <v>132</v>
      </c>
      <c r="J47" s="74" t="s">
        <v>132</v>
      </c>
      <c r="K47" s="74" t="s">
        <v>132</v>
      </c>
      <c r="L47" s="74" t="s">
        <v>132</v>
      </c>
      <c r="M47" s="74" t="s">
        <v>132</v>
      </c>
      <c r="N47" s="74" t="s">
        <v>132</v>
      </c>
      <c r="O47" s="74" t="s">
        <v>132</v>
      </c>
      <c r="P47" s="74" t="s">
        <v>132</v>
      </c>
      <c r="Q47" s="74">
        <v>1.51908848289841E-2</v>
      </c>
      <c r="R47" s="74" t="s">
        <v>132</v>
      </c>
      <c r="S47" s="86" t="s">
        <v>132</v>
      </c>
      <c r="T47" s="75">
        <v>1.51908848289841E-2</v>
      </c>
    </row>
    <row r="48" spans="1:20" ht="14.25" thickTop="1" thickBot="1" x14ac:dyDescent="0.25">
      <c r="A48" s="34" t="s">
        <v>0</v>
      </c>
      <c r="B48" s="41"/>
      <c r="C48" s="101">
        <v>1.4321462698673569E-2</v>
      </c>
      <c r="D48" s="102" t="s">
        <v>132</v>
      </c>
      <c r="E48" s="73">
        <v>3.1843252257385871E-3</v>
      </c>
      <c r="F48" s="73">
        <v>5.717917323269291E-3</v>
      </c>
      <c r="G48" s="73">
        <v>1.173453182014219E-4</v>
      </c>
      <c r="H48" s="73">
        <v>1.7601797730213271E-4</v>
      </c>
      <c r="I48" s="73">
        <v>4.2244314552511934E-3</v>
      </c>
      <c r="J48" s="73">
        <v>2.1335512400258499E-5</v>
      </c>
      <c r="K48" s="73">
        <v>2.272232074124698E-3</v>
      </c>
      <c r="L48" s="73">
        <v>9.9583504128206816E-3</v>
      </c>
      <c r="M48" s="73">
        <v>5.0138454140607591E-4</v>
      </c>
      <c r="N48" s="73">
        <v>3.7337146700452484E-5</v>
      </c>
      <c r="O48" s="73" t="s">
        <v>132</v>
      </c>
      <c r="P48" s="73">
        <v>6.5716045131846409E-2</v>
      </c>
      <c r="Q48" s="73">
        <v>1.5734940395190692E-2</v>
      </c>
      <c r="R48" s="73">
        <v>5.8672659100711044E-5</v>
      </c>
      <c r="S48" s="87">
        <v>2.8648259275447171E-2</v>
      </c>
      <c r="T48" s="90">
        <v>0.15069005714747333</v>
      </c>
    </row>
    <row r="51" spans="1:20" ht="15" x14ac:dyDescent="0.25">
      <c r="A51" s="100" t="s">
        <v>99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</row>
    <row r="52" spans="1:20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ht="13.5" thickBot="1" x14ac:dyDescent="0.25">
      <c r="A53" s="31" t="s">
        <v>133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ht="39" thickBot="1" x14ac:dyDescent="0.25">
      <c r="A54" s="38" t="s">
        <v>65</v>
      </c>
      <c r="B54" s="37" t="s">
        <v>73</v>
      </c>
      <c r="C54" s="45" t="s">
        <v>74</v>
      </c>
      <c r="D54" s="46" t="s">
        <v>75</v>
      </c>
      <c r="E54" s="32" t="s">
        <v>50</v>
      </c>
      <c r="F54" s="32" t="s">
        <v>51</v>
      </c>
      <c r="G54" s="32" t="s">
        <v>52</v>
      </c>
      <c r="H54" s="32" t="s">
        <v>53</v>
      </c>
      <c r="I54" s="32" t="s">
        <v>63</v>
      </c>
      <c r="J54" s="32" t="s">
        <v>54</v>
      </c>
      <c r="K54" s="32" t="s">
        <v>55</v>
      </c>
      <c r="L54" s="32" t="s">
        <v>56</v>
      </c>
      <c r="M54" s="32" t="s">
        <v>57</v>
      </c>
      <c r="N54" s="32" t="s">
        <v>58</v>
      </c>
      <c r="O54" s="32" t="s">
        <v>59</v>
      </c>
      <c r="P54" s="32" t="s">
        <v>60</v>
      </c>
      <c r="Q54" s="32" t="s">
        <v>61</v>
      </c>
      <c r="R54" s="32" t="s">
        <v>81</v>
      </c>
      <c r="S54" s="44" t="s">
        <v>62</v>
      </c>
      <c r="T54" s="33" t="s">
        <v>0</v>
      </c>
    </row>
    <row r="55" spans="1:20" x14ac:dyDescent="0.2">
      <c r="A55" s="36" t="s">
        <v>67</v>
      </c>
      <c r="B55" s="39" t="s">
        <v>68</v>
      </c>
      <c r="C55" s="93">
        <v>0.10195729898202027</v>
      </c>
      <c r="D55" s="94">
        <v>1.2049642163022638E-2</v>
      </c>
      <c r="E55" s="66">
        <v>5.7310618313931909E-2</v>
      </c>
      <c r="F55" s="66">
        <v>3.9230248382063057E-2</v>
      </c>
      <c r="G55" s="66">
        <v>2.6580093006667619E-4</v>
      </c>
      <c r="H55" s="66">
        <v>1.2797822558765874E-4</v>
      </c>
      <c r="I55" s="66">
        <v>3.0911663718865292E-3</v>
      </c>
      <c r="J55" s="66" t="s">
        <v>132</v>
      </c>
      <c r="K55" s="66" t="s">
        <v>132</v>
      </c>
      <c r="L55" s="66" t="s">
        <v>132</v>
      </c>
      <c r="M55" s="66">
        <v>1.516049749269189E-3</v>
      </c>
      <c r="N55" s="66">
        <v>8.663141424395367E-4</v>
      </c>
      <c r="O55" s="66" t="s">
        <v>132</v>
      </c>
      <c r="P55" s="66" t="s">
        <v>132</v>
      </c>
      <c r="Q55" s="66" t="s">
        <v>132</v>
      </c>
      <c r="R55" s="66" t="s">
        <v>132</v>
      </c>
      <c r="S55" s="84">
        <v>1.8704509893580892E-3</v>
      </c>
      <c r="T55" s="88">
        <v>0.21828556824964557</v>
      </c>
    </row>
    <row r="56" spans="1:20" x14ac:dyDescent="0.2">
      <c r="A56" s="35" t="s">
        <v>19</v>
      </c>
      <c r="B56" s="40" t="s">
        <v>68</v>
      </c>
      <c r="C56" s="103">
        <v>6.4579781527310904E-3</v>
      </c>
      <c r="D56" s="104" t="s">
        <v>132</v>
      </c>
      <c r="E56" s="67" t="s">
        <v>132</v>
      </c>
      <c r="F56" s="67" t="s">
        <v>132</v>
      </c>
      <c r="G56" s="67" t="s">
        <v>132</v>
      </c>
      <c r="H56" s="67" t="s">
        <v>132</v>
      </c>
      <c r="I56" s="67" t="s">
        <v>132</v>
      </c>
      <c r="J56" s="67" t="s">
        <v>132</v>
      </c>
      <c r="K56" s="67" t="s">
        <v>132</v>
      </c>
      <c r="L56" s="67" t="s">
        <v>132</v>
      </c>
      <c r="M56" s="67" t="s">
        <v>132</v>
      </c>
      <c r="N56" s="67" t="s">
        <v>132</v>
      </c>
      <c r="O56" s="67" t="s">
        <v>132</v>
      </c>
      <c r="P56" s="67" t="s">
        <v>132</v>
      </c>
      <c r="Q56" s="67" t="s">
        <v>132</v>
      </c>
      <c r="R56" s="67" t="s">
        <v>132</v>
      </c>
      <c r="S56" s="85" t="s">
        <v>132</v>
      </c>
      <c r="T56" s="89">
        <v>6.4579781527310904E-3</v>
      </c>
    </row>
    <row r="57" spans="1:20" x14ac:dyDescent="0.2">
      <c r="A57" s="36" t="s">
        <v>21</v>
      </c>
      <c r="B57" s="39" t="s">
        <v>68</v>
      </c>
      <c r="C57" s="105">
        <v>2.95334366740751E-5</v>
      </c>
      <c r="D57" s="106" t="s">
        <v>132</v>
      </c>
      <c r="E57" s="66">
        <v>3.2486780341482599E-4</v>
      </c>
      <c r="F57" s="66">
        <v>2.55956451175318E-3</v>
      </c>
      <c r="G57" s="66" t="s">
        <v>132</v>
      </c>
      <c r="H57" s="66">
        <v>1.19118194585436E-3</v>
      </c>
      <c r="I57" s="66">
        <v>1.07993933438201E-2</v>
      </c>
      <c r="J57" s="66" t="s">
        <v>132</v>
      </c>
      <c r="K57" s="66" t="s">
        <v>132</v>
      </c>
      <c r="L57" s="66" t="s">
        <v>132</v>
      </c>
      <c r="M57" s="66">
        <v>5.9066873348150201E-5</v>
      </c>
      <c r="N57" s="66">
        <v>2.7564540895803398E-4</v>
      </c>
      <c r="O57" s="66" t="s">
        <v>132</v>
      </c>
      <c r="P57" s="66" t="s">
        <v>132</v>
      </c>
      <c r="Q57" s="66" t="s">
        <v>132</v>
      </c>
      <c r="R57" s="66" t="s">
        <v>132</v>
      </c>
      <c r="S57" s="84">
        <v>4.64659403672115E-3</v>
      </c>
      <c r="T57" s="88">
        <v>1.9885847360543874E-2</v>
      </c>
    </row>
    <row r="58" spans="1:20" x14ac:dyDescent="0.2">
      <c r="A58" s="35" t="s">
        <v>22</v>
      </c>
      <c r="B58" s="40" t="s">
        <v>68</v>
      </c>
      <c r="C58" s="103" t="s">
        <v>132</v>
      </c>
      <c r="D58" s="104" t="s">
        <v>132</v>
      </c>
      <c r="E58" s="67" t="s">
        <v>132</v>
      </c>
      <c r="F58" s="67" t="s">
        <v>132</v>
      </c>
      <c r="G58" s="67" t="s">
        <v>132</v>
      </c>
      <c r="H58" s="67" t="s">
        <v>132</v>
      </c>
      <c r="I58" s="67" t="s">
        <v>132</v>
      </c>
      <c r="J58" s="67" t="s">
        <v>132</v>
      </c>
      <c r="K58" s="67">
        <v>2.1854743150551098E-3</v>
      </c>
      <c r="L58" s="67" t="s">
        <v>132</v>
      </c>
      <c r="M58" s="67" t="s">
        <v>132</v>
      </c>
      <c r="N58" s="67" t="s">
        <v>132</v>
      </c>
      <c r="O58" s="67" t="s">
        <v>132</v>
      </c>
      <c r="P58" s="67" t="s">
        <v>132</v>
      </c>
      <c r="Q58" s="67" t="s">
        <v>132</v>
      </c>
      <c r="R58" s="67" t="s">
        <v>132</v>
      </c>
      <c r="S58" s="85" t="s">
        <v>132</v>
      </c>
      <c r="T58" s="89">
        <v>2.1854743150551098E-3</v>
      </c>
    </row>
    <row r="59" spans="1:20" x14ac:dyDescent="0.2">
      <c r="A59" s="36" t="s">
        <v>69</v>
      </c>
      <c r="B59" s="39" t="s">
        <v>68</v>
      </c>
      <c r="C59" s="105">
        <v>1.3782270447901699E-4</v>
      </c>
      <c r="D59" s="106" t="s">
        <v>132</v>
      </c>
      <c r="E59" s="66">
        <v>2.0673405671852601E-4</v>
      </c>
      <c r="F59" s="66">
        <v>6.1035769126421802E-4</v>
      </c>
      <c r="G59" s="66">
        <v>1.3782270447901699E-4</v>
      </c>
      <c r="H59" s="66">
        <v>2.0673405671852601E-4</v>
      </c>
      <c r="I59" s="66">
        <v>3.3766562597359199E-3</v>
      </c>
      <c r="J59" s="66">
        <v>9.8444788913583696E-6</v>
      </c>
      <c r="K59" s="66" t="s">
        <v>132</v>
      </c>
      <c r="L59" s="66" t="s">
        <v>132</v>
      </c>
      <c r="M59" s="66">
        <v>3.2486780341482599E-4</v>
      </c>
      <c r="N59" s="66" t="s">
        <v>132</v>
      </c>
      <c r="O59" s="66" t="s">
        <v>132</v>
      </c>
      <c r="P59" s="66" t="s">
        <v>132</v>
      </c>
      <c r="Q59" s="66" t="s">
        <v>132</v>
      </c>
      <c r="R59" s="66">
        <v>1.9688957782716699E-5</v>
      </c>
      <c r="S59" s="84">
        <v>6.0051321237286001E-3</v>
      </c>
      <c r="T59" s="88">
        <v>1.1035660837212725E-2</v>
      </c>
    </row>
    <row r="60" spans="1:20" x14ac:dyDescent="0.2">
      <c r="A60" s="35" t="s">
        <v>77</v>
      </c>
      <c r="B60" s="40" t="s">
        <v>70</v>
      </c>
      <c r="C60" s="103">
        <v>2.7564540895803398E-4</v>
      </c>
      <c r="D60" s="104" t="s">
        <v>132</v>
      </c>
      <c r="E60" s="67" t="s">
        <v>132</v>
      </c>
      <c r="F60" s="67" t="s">
        <v>132</v>
      </c>
      <c r="G60" s="67" t="s">
        <v>132</v>
      </c>
      <c r="H60" s="67" t="s">
        <v>132</v>
      </c>
      <c r="I60" s="67">
        <v>9.0569205800497001E-4</v>
      </c>
      <c r="J60" s="67" t="s">
        <v>132</v>
      </c>
      <c r="K60" s="67">
        <v>1.39791600257289E-3</v>
      </c>
      <c r="L60" s="67">
        <v>3.5440124008890097E-4</v>
      </c>
      <c r="M60" s="67">
        <v>9.8444788913583696E-6</v>
      </c>
      <c r="N60" s="67" t="s">
        <v>132</v>
      </c>
      <c r="O60" s="67" t="s">
        <v>132</v>
      </c>
      <c r="P60" s="67" t="s">
        <v>132</v>
      </c>
      <c r="Q60" s="67" t="s">
        <v>132</v>
      </c>
      <c r="R60" s="67" t="s">
        <v>132</v>
      </c>
      <c r="S60" s="85">
        <v>6.3989112793829404E-4</v>
      </c>
      <c r="T60" s="89">
        <v>3.5833903164544469E-3</v>
      </c>
    </row>
    <row r="61" spans="1:20" x14ac:dyDescent="0.2">
      <c r="A61" s="36" t="s">
        <v>28</v>
      </c>
      <c r="B61" s="39" t="s">
        <v>70</v>
      </c>
      <c r="C61" s="105" t="s">
        <v>132</v>
      </c>
      <c r="D61" s="106" t="s">
        <v>132</v>
      </c>
      <c r="E61" s="66" t="s">
        <v>132</v>
      </c>
      <c r="F61" s="66" t="s">
        <v>132</v>
      </c>
      <c r="G61" s="66" t="s">
        <v>132</v>
      </c>
      <c r="H61" s="66" t="s">
        <v>132</v>
      </c>
      <c r="I61" s="66" t="s">
        <v>132</v>
      </c>
      <c r="J61" s="66" t="s">
        <v>132</v>
      </c>
      <c r="K61" s="66" t="s">
        <v>132</v>
      </c>
      <c r="L61" s="66" t="s">
        <v>132</v>
      </c>
      <c r="M61" s="66" t="s">
        <v>132</v>
      </c>
      <c r="N61" s="66" t="s">
        <v>132</v>
      </c>
      <c r="O61" s="66" t="s">
        <v>132</v>
      </c>
      <c r="P61" s="66" t="s">
        <v>132</v>
      </c>
      <c r="Q61" s="66" t="s">
        <v>132</v>
      </c>
      <c r="R61" s="66" t="s">
        <v>132</v>
      </c>
      <c r="S61" s="84">
        <v>4.3906375855458299E-3</v>
      </c>
      <c r="T61" s="88">
        <v>4.3906375855458299E-3</v>
      </c>
    </row>
    <row r="62" spans="1:20" x14ac:dyDescent="0.2">
      <c r="A62" s="35" t="s">
        <v>29</v>
      </c>
      <c r="B62" s="40" t="s">
        <v>70</v>
      </c>
      <c r="C62" s="103" t="s">
        <v>132</v>
      </c>
      <c r="D62" s="104" t="s">
        <v>132</v>
      </c>
      <c r="E62" s="67" t="s">
        <v>132</v>
      </c>
      <c r="F62" s="67" t="s">
        <v>132</v>
      </c>
      <c r="G62" s="67" t="s">
        <v>132</v>
      </c>
      <c r="H62" s="67" t="s">
        <v>132</v>
      </c>
      <c r="I62" s="67" t="s">
        <v>132</v>
      </c>
      <c r="J62" s="67" t="s">
        <v>132</v>
      </c>
      <c r="K62" s="67" t="s">
        <v>132</v>
      </c>
      <c r="L62" s="67" t="s">
        <v>132</v>
      </c>
      <c r="M62" s="67" t="s">
        <v>132</v>
      </c>
      <c r="N62" s="67" t="s">
        <v>132</v>
      </c>
      <c r="O62" s="67" t="s">
        <v>132</v>
      </c>
      <c r="P62" s="67" t="s">
        <v>132</v>
      </c>
      <c r="Q62" s="67" t="s">
        <v>132</v>
      </c>
      <c r="R62" s="67" t="s">
        <v>132</v>
      </c>
      <c r="S62" s="85">
        <v>3.0517884563210901E-4</v>
      </c>
      <c r="T62" s="89">
        <v>3.0517884563210901E-4</v>
      </c>
    </row>
    <row r="63" spans="1:20" x14ac:dyDescent="0.2">
      <c r="A63" s="36" t="s">
        <v>30</v>
      </c>
      <c r="B63" s="39" t="s">
        <v>70</v>
      </c>
      <c r="C63" s="105" t="s">
        <v>132</v>
      </c>
      <c r="D63" s="106" t="s">
        <v>132</v>
      </c>
      <c r="E63" s="66" t="s">
        <v>132</v>
      </c>
      <c r="F63" s="66">
        <v>1.3191601714420201E-3</v>
      </c>
      <c r="G63" s="66" t="s">
        <v>132</v>
      </c>
      <c r="H63" s="66">
        <v>8.1709174798274403E-4</v>
      </c>
      <c r="I63" s="66">
        <v>6.8911352239508494E-5</v>
      </c>
      <c r="J63" s="66" t="s">
        <v>132</v>
      </c>
      <c r="K63" s="66" t="s">
        <v>132</v>
      </c>
      <c r="L63" s="66" t="s">
        <v>132</v>
      </c>
      <c r="M63" s="66">
        <v>1.4766718337037499E-4</v>
      </c>
      <c r="N63" s="66" t="s">
        <v>132</v>
      </c>
      <c r="O63" s="66" t="s">
        <v>132</v>
      </c>
      <c r="P63" s="66" t="s">
        <v>132</v>
      </c>
      <c r="Q63" s="66" t="s">
        <v>132</v>
      </c>
      <c r="R63" s="66" t="s">
        <v>132</v>
      </c>
      <c r="S63" s="84">
        <v>2.3164058831366199E-2</v>
      </c>
      <c r="T63" s="88">
        <v>2.5516889286400848E-2</v>
      </c>
    </row>
    <row r="64" spans="1:20" x14ac:dyDescent="0.2">
      <c r="A64" s="35" t="s">
        <v>31</v>
      </c>
      <c r="B64" s="40" t="s">
        <v>70</v>
      </c>
      <c r="C64" s="103" t="s">
        <v>132</v>
      </c>
      <c r="D64" s="104" t="s">
        <v>132</v>
      </c>
      <c r="E64" s="67">
        <v>1.24040434031115E-3</v>
      </c>
      <c r="F64" s="67">
        <v>5.92637629259774E-3</v>
      </c>
      <c r="G64" s="67" t="s">
        <v>132</v>
      </c>
      <c r="H64" s="67" t="s">
        <v>132</v>
      </c>
      <c r="I64" s="67">
        <v>1.6243390170741299E-3</v>
      </c>
      <c r="J64" s="67" t="s">
        <v>132</v>
      </c>
      <c r="K64" s="67" t="s">
        <v>132</v>
      </c>
      <c r="L64" s="67" t="s">
        <v>132</v>
      </c>
      <c r="M64" s="67" t="s">
        <v>132</v>
      </c>
      <c r="N64" s="67" t="s">
        <v>132</v>
      </c>
      <c r="O64" s="67" t="s">
        <v>132</v>
      </c>
      <c r="P64" s="67" t="s">
        <v>132</v>
      </c>
      <c r="Q64" s="67" t="s">
        <v>132</v>
      </c>
      <c r="R64" s="67" t="s">
        <v>132</v>
      </c>
      <c r="S64" s="85">
        <v>1.93345565426278E-2</v>
      </c>
      <c r="T64" s="89">
        <v>2.8125676192610818E-2</v>
      </c>
    </row>
    <row r="65" spans="1:20" x14ac:dyDescent="0.2">
      <c r="A65" s="36" t="s">
        <v>20</v>
      </c>
      <c r="B65" s="39" t="s">
        <v>70</v>
      </c>
      <c r="C65" s="105" t="s">
        <v>132</v>
      </c>
      <c r="D65" s="106" t="s">
        <v>132</v>
      </c>
      <c r="E65" s="66" t="s">
        <v>132</v>
      </c>
      <c r="F65" s="66" t="s">
        <v>132</v>
      </c>
      <c r="G65" s="66">
        <v>6.7926904350372702E-4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 t="s">
        <v>132</v>
      </c>
      <c r="M65" s="66" t="s">
        <v>132</v>
      </c>
      <c r="N65" s="66" t="s">
        <v>132</v>
      </c>
      <c r="O65" s="66" t="s">
        <v>132</v>
      </c>
      <c r="P65" s="66" t="s">
        <v>132</v>
      </c>
      <c r="Q65" s="66" t="s">
        <v>132</v>
      </c>
      <c r="R65" s="66" t="s">
        <v>132</v>
      </c>
      <c r="S65" s="84" t="s">
        <v>132</v>
      </c>
      <c r="T65" s="88">
        <v>6.7926904350372702E-4</v>
      </c>
    </row>
    <row r="66" spans="1:20" x14ac:dyDescent="0.2">
      <c r="A66" s="35" t="s">
        <v>32</v>
      </c>
      <c r="B66" s="40" t="s">
        <v>70</v>
      </c>
      <c r="C66" s="103">
        <v>1.9688957782716699E-5</v>
      </c>
      <c r="D66" s="104" t="s">
        <v>132</v>
      </c>
      <c r="E66" s="67" t="s">
        <v>132</v>
      </c>
      <c r="F66" s="67">
        <v>1.5751166226173399E-4</v>
      </c>
      <c r="G66" s="67" t="s">
        <v>132</v>
      </c>
      <c r="H66" s="67">
        <v>6.8911352239508494E-5</v>
      </c>
      <c r="I66" s="67">
        <v>8.6631414243953605E-4</v>
      </c>
      <c r="J66" s="67" t="s">
        <v>132</v>
      </c>
      <c r="K66" s="67">
        <v>4.9222394456791799E-5</v>
      </c>
      <c r="L66" s="67" t="s">
        <v>132</v>
      </c>
      <c r="M66" s="67">
        <v>2.95334366740751E-5</v>
      </c>
      <c r="N66" s="67" t="s">
        <v>132</v>
      </c>
      <c r="O66" s="67" t="s">
        <v>132</v>
      </c>
      <c r="P66" s="67" t="s">
        <v>132</v>
      </c>
      <c r="Q66" s="67" t="s">
        <v>132</v>
      </c>
      <c r="R66" s="67" t="s">
        <v>132</v>
      </c>
      <c r="S66" s="85">
        <v>1.69128147353537E-2</v>
      </c>
      <c r="T66" s="89">
        <v>1.8103996681208063E-2</v>
      </c>
    </row>
    <row r="67" spans="1:20" x14ac:dyDescent="0.2">
      <c r="A67" s="36" t="s">
        <v>23</v>
      </c>
      <c r="B67" s="39" t="s">
        <v>71</v>
      </c>
      <c r="C67" s="105" t="s">
        <v>132</v>
      </c>
      <c r="D67" s="106" t="s">
        <v>132</v>
      </c>
      <c r="E67" s="66" t="s">
        <v>132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 t="s">
        <v>132</v>
      </c>
      <c r="K67" s="66" t="s">
        <v>132</v>
      </c>
      <c r="L67" s="66">
        <v>7.1963140695829701E-4</v>
      </c>
      <c r="M67" s="66" t="s">
        <v>132</v>
      </c>
      <c r="N67" s="66" t="s">
        <v>132</v>
      </c>
      <c r="O67" s="66" t="s">
        <v>132</v>
      </c>
      <c r="P67" s="66" t="s">
        <v>132</v>
      </c>
      <c r="Q67" s="66" t="s">
        <v>132</v>
      </c>
      <c r="R67" s="66" t="s">
        <v>132</v>
      </c>
      <c r="S67" s="84" t="s">
        <v>132</v>
      </c>
      <c r="T67" s="88">
        <v>7.1963140695829701E-4</v>
      </c>
    </row>
    <row r="68" spans="1:20" x14ac:dyDescent="0.2">
      <c r="A68" s="35" t="s">
        <v>24</v>
      </c>
      <c r="B68" s="40" t="s">
        <v>72</v>
      </c>
      <c r="C68" s="103" t="s">
        <v>132</v>
      </c>
      <c r="D68" s="104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 t="s">
        <v>132</v>
      </c>
      <c r="M68" s="67" t="s">
        <v>132</v>
      </c>
      <c r="N68" s="67" t="s">
        <v>132</v>
      </c>
      <c r="O68" s="67" t="s">
        <v>132</v>
      </c>
      <c r="P68" s="67">
        <v>7.1313405089000002E-3</v>
      </c>
      <c r="Q68" s="67" t="s">
        <v>132</v>
      </c>
      <c r="R68" s="67" t="s">
        <v>132</v>
      </c>
      <c r="S68" s="85" t="s">
        <v>132</v>
      </c>
      <c r="T68" s="89">
        <v>7.1313405089000002E-3</v>
      </c>
    </row>
    <row r="69" spans="1:20" x14ac:dyDescent="0.2">
      <c r="A69" s="36" t="s">
        <v>25</v>
      </c>
      <c r="B69" s="39" t="s">
        <v>72</v>
      </c>
      <c r="C69" s="105" t="s">
        <v>132</v>
      </c>
      <c r="D69" s="106" t="s">
        <v>132</v>
      </c>
      <c r="E69" s="66" t="s">
        <v>132</v>
      </c>
      <c r="F69" s="66" t="s">
        <v>132</v>
      </c>
      <c r="G69" s="66" t="s">
        <v>132</v>
      </c>
      <c r="H69" s="66" t="s">
        <v>132</v>
      </c>
      <c r="I69" s="66" t="s">
        <v>132</v>
      </c>
      <c r="J69" s="66" t="s">
        <v>132</v>
      </c>
      <c r="K69" s="66" t="s">
        <v>132</v>
      </c>
      <c r="L69" s="66" t="s">
        <v>132</v>
      </c>
      <c r="M69" s="66" t="s">
        <v>132</v>
      </c>
      <c r="N69" s="66" t="s">
        <v>132</v>
      </c>
      <c r="O69" s="66" t="s">
        <v>132</v>
      </c>
      <c r="P69" s="66">
        <v>3.3887649687722898E-2</v>
      </c>
      <c r="Q69" s="66" t="s">
        <v>132</v>
      </c>
      <c r="R69" s="66" t="s">
        <v>132</v>
      </c>
      <c r="S69" s="84" t="s">
        <v>132</v>
      </c>
      <c r="T69" s="88">
        <v>3.3887649687722898E-2</v>
      </c>
    </row>
    <row r="70" spans="1:20" x14ac:dyDescent="0.2">
      <c r="A70" s="35" t="s">
        <v>78</v>
      </c>
      <c r="B70" s="40" t="s">
        <v>72</v>
      </c>
      <c r="C70" s="103" t="s">
        <v>132</v>
      </c>
      <c r="D70" s="104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67" t="s">
        <v>132</v>
      </c>
      <c r="Q70" s="67">
        <v>1.2797822558765901E-4</v>
      </c>
      <c r="R70" s="67" t="s">
        <v>132</v>
      </c>
      <c r="S70" s="85" t="s">
        <v>132</v>
      </c>
      <c r="T70" s="89">
        <v>1.2797822558765901E-4</v>
      </c>
    </row>
    <row r="71" spans="1:20" x14ac:dyDescent="0.2">
      <c r="A71" s="36" t="s">
        <v>26</v>
      </c>
      <c r="B71" s="39" t="s">
        <v>72</v>
      </c>
      <c r="C71" s="105" t="s">
        <v>132</v>
      </c>
      <c r="D71" s="106" t="s">
        <v>132</v>
      </c>
      <c r="E71" s="66" t="s">
        <v>132</v>
      </c>
      <c r="F71" s="66" t="s">
        <v>132</v>
      </c>
      <c r="G71" s="66" t="s">
        <v>132</v>
      </c>
      <c r="H71" s="66" t="s">
        <v>132</v>
      </c>
      <c r="I71" s="66" t="s">
        <v>132</v>
      </c>
      <c r="J71" s="66" t="s">
        <v>132</v>
      </c>
      <c r="K71" s="66" t="s">
        <v>132</v>
      </c>
      <c r="L71" s="66" t="s">
        <v>132</v>
      </c>
      <c r="M71" s="66" t="s">
        <v>132</v>
      </c>
      <c r="N71" s="66" t="s">
        <v>132</v>
      </c>
      <c r="O71" s="66" t="s">
        <v>132</v>
      </c>
      <c r="P71" s="66">
        <v>2.03780713051118E-3</v>
      </c>
      <c r="Q71" s="66" t="s">
        <v>132</v>
      </c>
      <c r="R71" s="66" t="s">
        <v>132</v>
      </c>
      <c r="S71" s="84" t="s">
        <v>132</v>
      </c>
      <c r="T71" s="88">
        <v>2.03780713051118E-3</v>
      </c>
    </row>
    <row r="72" spans="1:20" ht="13.5" thickBot="1" x14ac:dyDescent="0.25">
      <c r="A72" s="43" t="s">
        <v>27</v>
      </c>
      <c r="B72" s="42" t="s">
        <v>72</v>
      </c>
      <c r="C72" s="107" t="s">
        <v>132</v>
      </c>
      <c r="D72" s="108" t="s">
        <v>132</v>
      </c>
      <c r="E72" s="74" t="s">
        <v>132</v>
      </c>
      <c r="F72" s="74" t="s">
        <v>132</v>
      </c>
      <c r="G72" s="74" t="s">
        <v>132</v>
      </c>
      <c r="H72" s="74" t="s">
        <v>132</v>
      </c>
      <c r="I72" s="74" t="s">
        <v>132</v>
      </c>
      <c r="J72" s="74" t="s">
        <v>132</v>
      </c>
      <c r="K72" s="74" t="s">
        <v>132</v>
      </c>
      <c r="L72" s="74" t="s">
        <v>132</v>
      </c>
      <c r="M72" s="74" t="s">
        <v>132</v>
      </c>
      <c r="N72" s="74" t="s">
        <v>132</v>
      </c>
      <c r="O72" s="74" t="s">
        <v>132</v>
      </c>
      <c r="P72" s="74" t="s">
        <v>132</v>
      </c>
      <c r="Q72" s="74">
        <v>1.0041368469185499E-3</v>
      </c>
      <c r="R72" s="74" t="s">
        <v>132</v>
      </c>
      <c r="S72" s="86" t="s">
        <v>132</v>
      </c>
      <c r="T72" s="75">
        <v>1.0041368469185499E-3</v>
      </c>
    </row>
    <row r="73" spans="1:20" ht="14.25" thickTop="1" thickBot="1" x14ac:dyDescent="0.25">
      <c r="A73" s="34" t="s">
        <v>0</v>
      </c>
      <c r="B73" s="41"/>
      <c r="C73" s="101">
        <v>0.12092760980566784</v>
      </c>
      <c r="D73" s="102" t="s">
        <v>132</v>
      </c>
      <c r="E73" s="73">
        <v>5.908262451437641E-2</v>
      </c>
      <c r="F73" s="73">
        <v>4.980321871138195E-2</v>
      </c>
      <c r="G73" s="73">
        <v>1.0828926780494202E-3</v>
      </c>
      <c r="H73" s="73">
        <v>2.4118973283827972E-3</v>
      </c>
      <c r="I73" s="73">
        <v>2.0732472545200692E-2</v>
      </c>
      <c r="J73" s="73">
        <v>9.8444788913583696E-6</v>
      </c>
      <c r="K73" s="73">
        <v>3.6326127120847916E-3</v>
      </c>
      <c r="L73" s="73">
        <v>1.0740326470471979E-3</v>
      </c>
      <c r="M73" s="73">
        <v>2.0870295249679734E-3</v>
      </c>
      <c r="N73" s="73">
        <v>1.1419595513975707E-3</v>
      </c>
      <c r="O73" s="73" t="s">
        <v>132</v>
      </c>
      <c r="P73" s="73">
        <v>4.3056797327134078E-2</v>
      </c>
      <c r="Q73" s="73">
        <v>1.1321150725062089E-3</v>
      </c>
      <c r="R73" s="73">
        <v>1.9688957782716699E-5</v>
      </c>
      <c r="S73" s="87">
        <v>7.7269314818271762E-2</v>
      </c>
      <c r="T73" s="90">
        <v>0.38346411067314268</v>
      </c>
    </row>
    <row r="74" spans="1:20" s="21" customFormat="1" x14ac:dyDescent="0.2"/>
    <row r="75" spans="1:20" s="21" customFormat="1" x14ac:dyDescent="0.2"/>
    <row r="76" spans="1:20" ht="15" x14ac:dyDescent="0.25">
      <c r="A76" s="100" t="s">
        <v>101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</row>
    <row r="77" spans="1:20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3.5" thickBot="1" x14ac:dyDescent="0.25">
      <c r="A78" s="31" t="s">
        <v>133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ht="39" thickBot="1" x14ac:dyDescent="0.25">
      <c r="A79" s="38" t="s">
        <v>65</v>
      </c>
      <c r="B79" s="37" t="s">
        <v>73</v>
      </c>
      <c r="C79" s="45" t="s">
        <v>74</v>
      </c>
      <c r="D79" s="46" t="s">
        <v>75</v>
      </c>
      <c r="E79" s="32" t="s">
        <v>50</v>
      </c>
      <c r="F79" s="32" t="s">
        <v>51</v>
      </c>
      <c r="G79" s="32" t="s">
        <v>52</v>
      </c>
      <c r="H79" s="32" t="s">
        <v>53</v>
      </c>
      <c r="I79" s="32" t="s">
        <v>63</v>
      </c>
      <c r="J79" s="32" t="s">
        <v>54</v>
      </c>
      <c r="K79" s="32" t="s">
        <v>55</v>
      </c>
      <c r="L79" s="32" t="s">
        <v>56</v>
      </c>
      <c r="M79" s="32" t="s">
        <v>57</v>
      </c>
      <c r="N79" s="32" t="s">
        <v>58</v>
      </c>
      <c r="O79" s="32" t="s">
        <v>59</v>
      </c>
      <c r="P79" s="32" t="s">
        <v>60</v>
      </c>
      <c r="Q79" s="32" t="s">
        <v>61</v>
      </c>
      <c r="R79" s="32" t="s">
        <v>81</v>
      </c>
      <c r="S79" s="44" t="s">
        <v>62</v>
      </c>
      <c r="T79" s="33" t="s">
        <v>0</v>
      </c>
    </row>
    <row r="80" spans="1:20" x14ac:dyDescent="0.2">
      <c r="A80" s="36" t="s">
        <v>67</v>
      </c>
      <c r="B80" s="39" t="s">
        <v>68</v>
      </c>
      <c r="C80" s="93">
        <v>1.4378283041294447E-3</v>
      </c>
      <c r="D80" s="94">
        <v>1.7253939649553319E-4</v>
      </c>
      <c r="E80" s="66">
        <v>4.025919251562442E-4</v>
      </c>
      <c r="F80" s="66">
        <v>3.8342088110118499E-5</v>
      </c>
      <c r="G80" s="66" t="s">
        <v>132</v>
      </c>
      <c r="H80" s="66" t="s">
        <v>132</v>
      </c>
      <c r="I80" s="66">
        <v>9.5855220275296196E-5</v>
      </c>
      <c r="J80" s="66" t="s">
        <v>132</v>
      </c>
      <c r="K80" s="66" t="s">
        <v>132</v>
      </c>
      <c r="L80" s="66" t="s">
        <v>132</v>
      </c>
      <c r="M80" s="66" t="s">
        <v>132</v>
      </c>
      <c r="N80" s="66" t="s">
        <v>132</v>
      </c>
      <c r="O80" s="66" t="s">
        <v>132</v>
      </c>
      <c r="P80" s="66" t="s">
        <v>132</v>
      </c>
      <c r="Q80" s="66" t="s">
        <v>132</v>
      </c>
      <c r="R80" s="66" t="s">
        <v>132</v>
      </c>
      <c r="S80" s="84" t="s">
        <v>132</v>
      </c>
      <c r="T80" s="88">
        <v>2.1471569341666363E-3</v>
      </c>
    </row>
    <row r="81" spans="1:20" x14ac:dyDescent="0.2">
      <c r="A81" s="35" t="s">
        <v>19</v>
      </c>
      <c r="B81" s="40" t="s">
        <v>68</v>
      </c>
      <c r="C81" s="103">
        <v>4.0259192515624398E-4</v>
      </c>
      <c r="D81" s="104" t="s">
        <v>132</v>
      </c>
      <c r="E81" s="67" t="s">
        <v>132</v>
      </c>
      <c r="F81" s="67" t="s">
        <v>132</v>
      </c>
      <c r="G81" s="67" t="s">
        <v>132</v>
      </c>
      <c r="H81" s="67" t="s">
        <v>132</v>
      </c>
      <c r="I81" s="67" t="s">
        <v>132</v>
      </c>
      <c r="J81" s="67" t="s">
        <v>132</v>
      </c>
      <c r="K81" s="67" t="s">
        <v>132</v>
      </c>
      <c r="L81" s="67" t="s">
        <v>132</v>
      </c>
      <c r="M81" s="67" t="s">
        <v>132</v>
      </c>
      <c r="N81" s="67" t="s">
        <v>132</v>
      </c>
      <c r="O81" s="67" t="s">
        <v>132</v>
      </c>
      <c r="P81" s="67" t="s">
        <v>132</v>
      </c>
      <c r="Q81" s="67" t="s">
        <v>132</v>
      </c>
      <c r="R81" s="67" t="s">
        <v>132</v>
      </c>
      <c r="S81" s="85" t="s">
        <v>132</v>
      </c>
      <c r="T81" s="89">
        <v>4.0259192515624398E-4</v>
      </c>
    </row>
    <row r="82" spans="1:20" x14ac:dyDescent="0.2">
      <c r="A82" s="36" t="s">
        <v>21</v>
      </c>
      <c r="B82" s="39" t="s">
        <v>68</v>
      </c>
      <c r="C82" s="105" t="s">
        <v>132</v>
      </c>
      <c r="D82" s="106" t="s">
        <v>132</v>
      </c>
      <c r="E82" s="66" t="s">
        <v>132</v>
      </c>
      <c r="F82" s="66" t="s">
        <v>132</v>
      </c>
      <c r="G82" s="66" t="s">
        <v>132</v>
      </c>
      <c r="H82" s="66">
        <v>1.9171044055059198E-5</v>
      </c>
      <c r="I82" s="66">
        <v>1.72539396495533E-4</v>
      </c>
      <c r="J82" s="66" t="s">
        <v>132</v>
      </c>
      <c r="K82" s="66" t="s">
        <v>132</v>
      </c>
      <c r="L82" s="66" t="s">
        <v>132</v>
      </c>
      <c r="M82" s="66" t="s">
        <v>132</v>
      </c>
      <c r="N82" s="66" t="s">
        <v>132</v>
      </c>
      <c r="O82" s="66" t="s">
        <v>132</v>
      </c>
      <c r="P82" s="66" t="s">
        <v>132</v>
      </c>
      <c r="Q82" s="66" t="s">
        <v>132</v>
      </c>
      <c r="R82" s="66" t="s">
        <v>132</v>
      </c>
      <c r="S82" s="84">
        <v>9.5855220275296196E-5</v>
      </c>
      <c r="T82" s="88">
        <v>2.8756566082588841E-4</v>
      </c>
    </row>
    <row r="83" spans="1:20" x14ac:dyDescent="0.2">
      <c r="A83" s="35" t="s">
        <v>22</v>
      </c>
      <c r="B83" s="40" t="s">
        <v>68</v>
      </c>
      <c r="C83" s="103" t="s">
        <v>132</v>
      </c>
      <c r="D83" s="104" t="s">
        <v>132</v>
      </c>
      <c r="E83" s="67" t="s">
        <v>132</v>
      </c>
      <c r="F83" s="67" t="s">
        <v>132</v>
      </c>
      <c r="G83" s="67" t="s">
        <v>132</v>
      </c>
      <c r="H83" s="67" t="s">
        <v>132</v>
      </c>
      <c r="I83" s="67" t="s">
        <v>132</v>
      </c>
      <c r="J83" s="67" t="s">
        <v>132</v>
      </c>
      <c r="K83" s="67">
        <v>5.7513132165177697E-5</v>
      </c>
      <c r="L83" s="67" t="s">
        <v>132</v>
      </c>
      <c r="M83" s="67" t="s">
        <v>132</v>
      </c>
      <c r="N83" s="67" t="s">
        <v>132</v>
      </c>
      <c r="O83" s="67" t="s">
        <v>132</v>
      </c>
      <c r="P83" s="67" t="s">
        <v>132</v>
      </c>
      <c r="Q83" s="67" t="s">
        <v>132</v>
      </c>
      <c r="R83" s="67" t="s">
        <v>132</v>
      </c>
      <c r="S83" s="85" t="s">
        <v>132</v>
      </c>
      <c r="T83" s="89">
        <v>5.7513132165177697E-5</v>
      </c>
    </row>
    <row r="84" spans="1:20" x14ac:dyDescent="0.2">
      <c r="A84" s="36" t="s">
        <v>69</v>
      </c>
      <c r="B84" s="39" t="s">
        <v>68</v>
      </c>
      <c r="C84" s="105" t="s">
        <v>132</v>
      </c>
      <c r="D84" s="106" t="s">
        <v>132</v>
      </c>
      <c r="E84" s="66" t="s">
        <v>132</v>
      </c>
      <c r="F84" s="66" t="s">
        <v>132</v>
      </c>
      <c r="G84" s="66" t="s">
        <v>132</v>
      </c>
      <c r="H84" s="66" t="s">
        <v>132</v>
      </c>
      <c r="I84" s="66">
        <v>3.6424983704612602E-4</v>
      </c>
      <c r="J84" s="66" t="s">
        <v>132</v>
      </c>
      <c r="K84" s="66" t="s">
        <v>132</v>
      </c>
      <c r="L84" s="66" t="s">
        <v>132</v>
      </c>
      <c r="M84" s="66" t="s">
        <v>132</v>
      </c>
      <c r="N84" s="66" t="s">
        <v>132</v>
      </c>
      <c r="O84" s="66" t="s">
        <v>132</v>
      </c>
      <c r="P84" s="66" t="s">
        <v>132</v>
      </c>
      <c r="Q84" s="66" t="s">
        <v>132</v>
      </c>
      <c r="R84" s="66" t="s">
        <v>132</v>
      </c>
      <c r="S84" s="84">
        <v>8.2435489436754705E-4</v>
      </c>
      <c r="T84" s="88">
        <v>1.1886047314136731E-3</v>
      </c>
    </row>
    <row r="85" spans="1:20" x14ac:dyDescent="0.2">
      <c r="A85" s="35" t="s">
        <v>77</v>
      </c>
      <c r="B85" s="40" t="s">
        <v>70</v>
      </c>
      <c r="C85" s="103" t="s">
        <v>132</v>
      </c>
      <c r="D85" s="104" t="s">
        <v>132</v>
      </c>
      <c r="E85" s="67" t="s">
        <v>132</v>
      </c>
      <c r="F85" s="67" t="s">
        <v>132</v>
      </c>
      <c r="G85" s="67" t="s">
        <v>132</v>
      </c>
      <c r="H85" s="67" t="s">
        <v>132</v>
      </c>
      <c r="I85" s="67">
        <v>7.6684176220236997E-5</v>
      </c>
      <c r="J85" s="67" t="s">
        <v>132</v>
      </c>
      <c r="K85" s="67">
        <v>5.7513132165177697E-5</v>
      </c>
      <c r="L85" s="67">
        <v>9.5855220275296196E-5</v>
      </c>
      <c r="M85" s="67" t="s">
        <v>132</v>
      </c>
      <c r="N85" s="67" t="s">
        <v>132</v>
      </c>
      <c r="O85" s="67" t="s">
        <v>132</v>
      </c>
      <c r="P85" s="67" t="s">
        <v>132</v>
      </c>
      <c r="Q85" s="67" t="s">
        <v>132</v>
      </c>
      <c r="R85" s="67" t="s">
        <v>132</v>
      </c>
      <c r="S85" s="85">
        <v>4.2176296921130302E-4</v>
      </c>
      <c r="T85" s="89">
        <v>6.5181549787201383E-4</v>
      </c>
    </row>
    <row r="86" spans="1:20" x14ac:dyDescent="0.2">
      <c r="A86" s="36" t="s">
        <v>28</v>
      </c>
      <c r="B86" s="39" t="s">
        <v>70</v>
      </c>
      <c r="C86" s="105" t="s">
        <v>132</v>
      </c>
      <c r="D86" s="106" t="s">
        <v>132</v>
      </c>
      <c r="E86" s="66" t="s">
        <v>132</v>
      </c>
      <c r="F86" s="66" t="s">
        <v>132</v>
      </c>
      <c r="G86" s="66" t="s">
        <v>132</v>
      </c>
      <c r="H86" s="66" t="s">
        <v>132</v>
      </c>
      <c r="I86" s="66" t="s">
        <v>132</v>
      </c>
      <c r="J86" s="66" t="s">
        <v>132</v>
      </c>
      <c r="K86" s="66" t="s">
        <v>132</v>
      </c>
      <c r="L86" s="66" t="s">
        <v>132</v>
      </c>
      <c r="M86" s="66" t="s">
        <v>132</v>
      </c>
      <c r="N86" s="66" t="s">
        <v>132</v>
      </c>
      <c r="O86" s="66" t="s">
        <v>132</v>
      </c>
      <c r="P86" s="66" t="s">
        <v>132</v>
      </c>
      <c r="Q86" s="66" t="s">
        <v>132</v>
      </c>
      <c r="R86" s="66" t="s">
        <v>132</v>
      </c>
      <c r="S86" s="84" t="s">
        <v>132</v>
      </c>
      <c r="T86" s="88" t="s">
        <v>132</v>
      </c>
    </row>
    <row r="87" spans="1:20" x14ac:dyDescent="0.2">
      <c r="A87" s="35" t="s">
        <v>29</v>
      </c>
      <c r="B87" s="40" t="s">
        <v>70</v>
      </c>
      <c r="C87" s="103" t="s">
        <v>132</v>
      </c>
      <c r="D87" s="104" t="s">
        <v>132</v>
      </c>
      <c r="E87" s="67" t="s">
        <v>132</v>
      </c>
      <c r="F87" s="67" t="s">
        <v>132</v>
      </c>
      <c r="G87" s="67" t="s">
        <v>132</v>
      </c>
      <c r="H87" s="67" t="s">
        <v>132</v>
      </c>
      <c r="I87" s="67" t="s">
        <v>132</v>
      </c>
      <c r="J87" s="67" t="s">
        <v>132</v>
      </c>
      <c r="K87" s="67" t="s">
        <v>132</v>
      </c>
      <c r="L87" s="67" t="s">
        <v>132</v>
      </c>
      <c r="M87" s="67" t="s">
        <v>132</v>
      </c>
      <c r="N87" s="67" t="s">
        <v>132</v>
      </c>
      <c r="O87" s="67" t="s">
        <v>132</v>
      </c>
      <c r="P87" s="67" t="s">
        <v>132</v>
      </c>
      <c r="Q87" s="67" t="s">
        <v>132</v>
      </c>
      <c r="R87" s="67" t="s">
        <v>132</v>
      </c>
      <c r="S87" s="85" t="s">
        <v>132</v>
      </c>
      <c r="T87" s="89" t="s">
        <v>132</v>
      </c>
    </row>
    <row r="88" spans="1:20" x14ac:dyDescent="0.2">
      <c r="A88" s="36" t="s">
        <v>30</v>
      </c>
      <c r="B88" s="39" t="s">
        <v>70</v>
      </c>
      <c r="C88" s="105" t="s">
        <v>132</v>
      </c>
      <c r="D88" s="106" t="s">
        <v>132</v>
      </c>
      <c r="E88" s="66" t="s">
        <v>132</v>
      </c>
      <c r="F88" s="66" t="s">
        <v>132</v>
      </c>
      <c r="G88" s="66" t="s">
        <v>132</v>
      </c>
      <c r="H88" s="66" t="s">
        <v>132</v>
      </c>
      <c r="I88" s="66" t="s">
        <v>132</v>
      </c>
      <c r="J88" s="66" t="s">
        <v>132</v>
      </c>
      <c r="K88" s="66" t="s">
        <v>132</v>
      </c>
      <c r="L88" s="66" t="s">
        <v>132</v>
      </c>
      <c r="M88" s="66" t="s">
        <v>132</v>
      </c>
      <c r="N88" s="66" t="s">
        <v>132</v>
      </c>
      <c r="O88" s="66" t="s">
        <v>132</v>
      </c>
      <c r="P88" s="66" t="s">
        <v>132</v>
      </c>
      <c r="Q88" s="66" t="s">
        <v>132</v>
      </c>
      <c r="R88" s="66" t="s">
        <v>132</v>
      </c>
      <c r="S88" s="84">
        <v>4.4093401326636297E-4</v>
      </c>
      <c r="T88" s="88">
        <v>4.4093401326636297E-4</v>
      </c>
    </row>
    <row r="89" spans="1:20" x14ac:dyDescent="0.2">
      <c r="A89" s="35" t="s">
        <v>31</v>
      </c>
      <c r="B89" s="40" t="s">
        <v>70</v>
      </c>
      <c r="C89" s="103" t="s">
        <v>132</v>
      </c>
      <c r="D89" s="104" t="s">
        <v>132</v>
      </c>
      <c r="E89" s="67" t="s">
        <v>132</v>
      </c>
      <c r="F89" s="67" t="s">
        <v>132</v>
      </c>
      <c r="G89" s="67" t="s">
        <v>132</v>
      </c>
      <c r="H89" s="67" t="s">
        <v>132</v>
      </c>
      <c r="I89" s="67">
        <v>3.8342088110118499E-5</v>
      </c>
      <c r="J89" s="67" t="s">
        <v>132</v>
      </c>
      <c r="K89" s="67">
        <v>3.8342088110118499E-5</v>
      </c>
      <c r="L89" s="67" t="s">
        <v>132</v>
      </c>
      <c r="M89" s="67" t="s">
        <v>132</v>
      </c>
      <c r="N89" s="67" t="s">
        <v>132</v>
      </c>
      <c r="O89" s="67" t="s">
        <v>132</v>
      </c>
      <c r="P89" s="67" t="s">
        <v>132</v>
      </c>
      <c r="Q89" s="67" t="s">
        <v>132</v>
      </c>
      <c r="R89" s="67" t="s">
        <v>132</v>
      </c>
      <c r="S89" s="85">
        <v>1.5720256125148599E-3</v>
      </c>
      <c r="T89" s="89">
        <v>1.6487097887350969E-3</v>
      </c>
    </row>
    <row r="90" spans="1:20" x14ac:dyDescent="0.2">
      <c r="A90" s="36" t="s">
        <v>20</v>
      </c>
      <c r="B90" s="39" t="s">
        <v>70</v>
      </c>
      <c r="C90" s="105" t="s">
        <v>132</v>
      </c>
      <c r="D90" s="106" t="s">
        <v>132</v>
      </c>
      <c r="E90" s="66" t="s">
        <v>132</v>
      </c>
      <c r="F90" s="66" t="s">
        <v>132</v>
      </c>
      <c r="G90" s="66" t="s">
        <v>132</v>
      </c>
      <c r="H90" s="66" t="s">
        <v>132</v>
      </c>
      <c r="I90" s="66" t="s">
        <v>132</v>
      </c>
      <c r="J90" s="66" t="s">
        <v>132</v>
      </c>
      <c r="K90" s="66" t="s">
        <v>132</v>
      </c>
      <c r="L90" s="66" t="s">
        <v>132</v>
      </c>
      <c r="M90" s="66" t="s">
        <v>132</v>
      </c>
      <c r="N90" s="66" t="s">
        <v>132</v>
      </c>
      <c r="O90" s="66" t="s">
        <v>132</v>
      </c>
      <c r="P90" s="66" t="s">
        <v>132</v>
      </c>
      <c r="Q90" s="66" t="s">
        <v>132</v>
      </c>
      <c r="R90" s="66" t="s">
        <v>132</v>
      </c>
      <c r="S90" s="84" t="s">
        <v>132</v>
      </c>
      <c r="T90" s="88" t="s">
        <v>132</v>
      </c>
    </row>
    <row r="91" spans="1:20" x14ac:dyDescent="0.2">
      <c r="A91" s="35" t="s">
        <v>32</v>
      </c>
      <c r="B91" s="40" t="s">
        <v>70</v>
      </c>
      <c r="C91" s="103" t="s">
        <v>132</v>
      </c>
      <c r="D91" s="104" t="s">
        <v>132</v>
      </c>
      <c r="E91" s="67" t="s">
        <v>132</v>
      </c>
      <c r="F91" s="67" t="s">
        <v>132</v>
      </c>
      <c r="G91" s="67" t="s">
        <v>132</v>
      </c>
      <c r="H91" s="67">
        <v>1.9171044055059198E-5</v>
      </c>
      <c r="I91" s="67" t="s">
        <v>132</v>
      </c>
      <c r="J91" s="67" t="s">
        <v>132</v>
      </c>
      <c r="K91" s="67" t="s">
        <v>132</v>
      </c>
      <c r="L91" s="67" t="s">
        <v>132</v>
      </c>
      <c r="M91" s="67" t="s">
        <v>132</v>
      </c>
      <c r="N91" s="67" t="s">
        <v>132</v>
      </c>
      <c r="O91" s="67" t="s">
        <v>132</v>
      </c>
      <c r="P91" s="67" t="s">
        <v>132</v>
      </c>
      <c r="Q91" s="67" t="s">
        <v>132</v>
      </c>
      <c r="R91" s="67" t="s">
        <v>132</v>
      </c>
      <c r="S91" s="85">
        <v>1.2461178635788501E-3</v>
      </c>
      <c r="T91" s="89">
        <v>1.2652889076339093E-3</v>
      </c>
    </row>
    <row r="92" spans="1:20" x14ac:dyDescent="0.2">
      <c r="A92" s="36" t="s">
        <v>23</v>
      </c>
      <c r="B92" s="39" t="s">
        <v>71</v>
      </c>
      <c r="C92" s="105" t="s">
        <v>132</v>
      </c>
      <c r="D92" s="106" t="s">
        <v>132</v>
      </c>
      <c r="E92" s="66" t="s">
        <v>132</v>
      </c>
      <c r="F92" s="66" t="s">
        <v>132</v>
      </c>
      <c r="G92" s="66" t="s">
        <v>132</v>
      </c>
      <c r="H92" s="66" t="s">
        <v>132</v>
      </c>
      <c r="I92" s="66" t="s">
        <v>132</v>
      </c>
      <c r="J92" s="66" t="s">
        <v>132</v>
      </c>
      <c r="K92" s="66" t="s">
        <v>132</v>
      </c>
      <c r="L92" s="66">
        <v>1.4953414362946201E-3</v>
      </c>
      <c r="M92" s="66" t="s">
        <v>132</v>
      </c>
      <c r="N92" s="66" t="s">
        <v>132</v>
      </c>
      <c r="O92" s="66" t="s">
        <v>132</v>
      </c>
      <c r="P92" s="66" t="s">
        <v>132</v>
      </c>
      <c r="Q92" s="66" t="s">
        <v>132</v>
      </c>
      <c r="R92" s="66" t="s">
        <v>132</v>
      </c>
      <c r="S92" s="84" t="s">
        <v>132</v>
      </c>
      <c r="T92" s="88">
        <v>1.4953414362946201E-3</v>
      </c>
    </row>
    <row r="93" spans="1:20" x14ac:dyDescent="0.2">
      <c r="A93" s="35" t="s">
        <v>24</v>
      </c>
      <c r="B93" s="40" t="s">
        <v>72</v>
      </c>
      <c r="C93" s="103" t="s">
        <v>132</v>
      </c>
      <c r="D93" s="104" t="s">
        <v>132</v>
      </c>
      <c r="E93" s="67" t="s">
        <v>132</v>
      </c>
      <c r="F93" s="67" t="s">
        <v>132</v>
      </c>
      <c r="G93" s="67" t="s">
        <v>132</v>
      </c>
      <c r="H93" s="67" t="s">
        <v>132</v>
      </c>
      <c r="I93" s="67" t="s">
        <v>132</v>
      </c>
      <c r="J93" s="67" t="s">
        <v>132</v>
      </c>
      <c r="K93" s="67" t="s">
        <v>132</v>
      </c>
      <c r="L93" s="67" t="s">
        <v>132</v>
      </c>
      <c r="M93" s="67" t="s">
        <v>132</v>
      </c>
      <c r="N93" s="67" t="s">
        <v>132</v>
      </c>
      <c r="O93" s="67" t="s">
        <v>132</v>
      </c>
      <c r="P93" s="67">
        <v>1.64870978873509E-3</v>
      </c>
      <c r="Q93" s="67" t="s">
        <v>132</v>
      </c>
      <c r="R93" s="67" t="s">
        <v>132</v>
      </c>
      <c r="S93" s="85" t="s">
        <v>132</v>
      </c>
      <c r="T93" s="89">
        <v>1.64870978873509E-3</v>
      </c>
    </row>
    <row r="94" spans="1:20" x14ac:dyDescent="0.2">
      <c r="A94" s="36" t="s">
        <v>25</v>
      </c>
      <c r="B94" s="39" t="s">
        <v>72</v>
      </c>
      <c r="C94" s="105" t="s">
        <v>132</v>
      </c>
      <c r="D94" s="106" t="s">
        <v>132</v>
      </c>
      <c r="E94" s="66" t="s">
        <v>132</v>
      </c>
      <c r="F94" s="66" t="s">
        <v>132</v>
      </c>
      <c r="G94" s="66" t="s">
        <v>132</v>
      </c>
      <c r="H94" s="66" t="s">
        <v>132</v>
      </c>
      <c r="I94" s="66" t="s">
        <v>132</v>
      </c>
      <c r="J94" s="66" t="s">
        <v>132</v>
      </c>
      <c r="K94" s="66" t="s">
        <v>132</v>
      </c>
      <c r="L94" s="66" t="s">
        <v>132</v>
      </c>
      <c r="M94" s="66" t="s">
        <v>132</v>
      </c>
      <c r="N94" s="66" t="s">
        <v>132</v>
      </c>
      <c r="O94" s="66" t="s">
        <v>132</v>
      </c>
      <c r="P94" s="66">
        <v>1.3013304704574199E-2</v>
      </c>
      <c r="Q94" s="66" t="s">
        <v>132</v>
      </c>
      <c r="R94" s="66" t="s">
        <v>132</v>
      </c>
      <c r="S94" s="84" t="s">
        <v>132</v>
      </c>
      <c r="T94" s="88">
        <v>1.3013304704574199E-2</v>
      </c>
    </row>
    <row r="95" spans="1:20" x14ac:dyDescent="0.2">
      <c r="A95" s="35" t="s">
        <v>78</v>
      </c>
      <c r="B95" s="40" t="s">
        <v>72</v>
      </c>
      <c r="C95" s="103" t="s">
        <v>132</v>
      </c>
      <c r="D95" s="104" t="s">
        <v>132</v>
      </c>
      <c r="E95" s="67" t="s">
        <v>132</v>
      </c>
      <c r="F95" s="67" t="s">
        <v>132</v>
      </c>
      <c r="G95" s="67" t="s">
        <v>132</v>
      </c>
      <c r="H95" s="67" t="s">
        <v>132</v>
      </c>
      <c r="I95" s="67" t="s">
        <v>132</v>
      </c>
      <c r="J95" s="67" t="s">
        <v>132</v>
      </c>
      <c r="K95" s="67" t="s">
        <v>132</v>
      </c>
      <c r="L95" s="67" t="s">
        <v>132</v>
      </c>
      <c r="M95" s="67" t="s">
        <v>132</v>
      </c>
      <c r="N95" s="67" t="s">
        <v>132</v>
      </c>
      <c r="O95" s="67" t="s">
        <v>132</v>
      </c>
      <c r="P95" s="67" t="s">
        <v>132</v>
      </c>
      <c r="Q95" s="67">
        <v>7.6684176220236902E-5</v>
      </c>
      <c r="R95" s="67" t="s">
        <v>132</v>
      </c>
      <c r="S95" s="85" t="s">
        <v>132</v>
      </c>
      <c r="T95" s="89">
        <v>7.6684176220236902E-5</v>
      </c>
    </row>
    <row r="96" spans="1:20" x14ac:dyDescent="0.2">
      <c r="A96" s="36" t="s">
        <v>26</v>
      </c>
      <c r="B96" s="39" t="s">
        <v>72</v>
      </c>
      <c r="C96" s="105" t="s">
        <v>132</v>
      </c>
      <c r="D96" s="106" t="s">
        <v>132</v>
      </c>
      <c r="E96" s="66" t="s">
        <v>132</v>
      </c>
      <c r="F96" s="66" t="s">
        <v>132</v>
      </c>
      <c r="G96" s="66" t="s">
        <v>132</v>
      </c>
      <c r="H96" s="66" t="s">
        <v>132</v>
      </c>
      <c r="I96" s="66" t="s">
        <v>132</v>
      </c>
      <c r="J96" s="66" t="s">
        <v>132</v>
      </c>
      <c r="K96" s="66" t="s">
        <v>132</v>
      </c>
      <c r="L96" s="66" t="s">
        <v>132</v>
      </c>
      <c r="M96" s="66" t="s">
        <v>132</v>
      </c>
      <c r="N96" s="66" t="s">
        <v>132</v>
      </c>
      <c r="O96" s="66" t="s">
        <v>132</v>
      </c>
      <c r="P96" s="66">
        <v>1.8212491852306299E-3</v>
      </c>
      <c r="Q96" s="66" t="s">
        <v>132</v>
      </c>
      <c r="R96" s="66" t="s">
        <v>132</v>
      </c>
      <c r="S96" s="84" t="s">
        <v>132</v>
      </c>
      <c r="T96" s="88">
        <v>1.8212491852306299E-3</v>
      </c>
    </row>
    <row r="97" spans="1:20" ht="13.5" thickBot="1" x14ac:dyDescent="0.25">
      <c r="A97" s="43" t="s">
        <v>27</v>
      </c>
      <c r="B97" s="42" t="s">
        <v>72</v>
      </c>
      <c r="C97" s="107" t="s">
        <v>132</v>
      </c>
      <c r="D97" s="108" t="s">
        <v>132</v>
      </c>
      <c r="E97" s="74" t="s">
        <v>132</v>
      </c>
      <c r="F97" s="74" t="s">
        <v>132</v>
      </c>
      <c r="G97" s="74" t="s">
        <v>132</v>
      </c>
      <c r="H97" s="74" t="s">
        <v>132</v>
      </c>
      <c r="I97" s="74" t="s">
        <v>132</v>
      </c>
      <c r="J97" s="74" t="s">
        <v>132</v>
      </c>
      <c r="K97" s="74" t="s">
        <v>132</v>
      </c>
      <c r="L97" s="74" t="s">
        <v>132</v>
      </c>
      <c r="M97" s="74" t="s">
        <v>132</v>
      </c>
      <c r="N97" s="74" t="s">
        <v>132</v>
      </c>
      <c r="O97" s="74" t="s">
        <v>132</v>
      </c>
      <c r="P97" s="74" t="s">
        <v>132</v>
      </c>
      <c r="Q97" s="74">
        <v>2.0704727579463999E-3</v>
      </c>
      <c r="R97" s="74" t="s">
        <v>132</v>
      </c>
      <c r="S97" s="86" t="s">
        <v>132</v>
      </c>
      <c r="T97" s="75">
        <v>2.0704727579463999E-3</v>
      </c>
    </row>
    <row r="98" spans="1:20" ht="14.25" thickTop="1" thickBot="1" x14ac:dyDescent="0.25">
      <c r="A98" s="34" t="s">
        <v>0</v>
      </c>
      <c r="B98" s="41"/>
      <c r="C98" s="101">
        <v>2.0129596257812219E-3</v>
      </c>
      <c r="D98" s="102" t="s">
        <v>132</v>
      </c>
      <c r="E98" s="73">
        <v>4.025919251562442E-4</v>
      </c>
      <c r="F98" s="73">
        <v>3.8342088110118499E-5</v>
      </c>
      <c r="G98" s="73" t="s">
        <v>132</v>
      </c>
      <c r="H98" s="73">
        <v>3.8342088110118397E-5</v>
      </c>
      <c r="I98" s="73">
        <v>7.476707181473108E-4</v>
      </c>
      <c r="J98" s="73" t="s">
        <v>132</v>
      </c>
      <c r="K98" s="73">
        <v>1.5336835244047389E-4</v>
      </c>
      <c r="L98" s="73">
        <v>1.5911966565699163E-3</v>
      </c>
      <c r="M98" s="73" t="s">
        <v>132</v>
      </c>
      <c r="N98" s="73" t="s">
        <v>132</v>
      </c>
      <c r="O98" s="73" t="s">
        <v>132</v>
      </c>
      <c r="P98" s="73">
        <v>1.6483263678539917E-2</v>
      </c>
      <c r="Q98" s="73">
        <v>2.1471569341666367E-3</v>
      </c>
      <c r="R98" s="73" t="s">
        <v>132</v>
      </c>
      <c r="S98" s="87">
        <v>4.6010505732142198E-3</v>
      </c>
      <c r="T98" s="90">
        <v>2.8215942640236181E-2</v>
      </c>
    </row>
  </sheetData>
  <mergeCells count="76">
    <mergeCell ref="A1:T1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6:T26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A51:T51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A76:T76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8:D98"/>
    <mergeCell ref="C93:D93"/>
    <mergeCell ref="C94:D94"/>
    <mergeCell ref="C95:D95"/>
    <mergeCell ref="C96:D96"/>
    <mergeCell ref="C97:D97"/>
  </mergeCells>
  <conditionalFormatting sqref="C5:T23">
    <cfRule type="cellIs" dxfId="17" priority="1" operator="greaterThan">
      <formula>0</formula>
    </cfRule>
  </conditionalFormatting>
  <conditionalFormatting sqref="T23">
    <cfRule type="cellIs" dxfId="16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71" orientation="landscape" r:id="rId1"/>
  <headerFooter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showGridLines="0" zoomScaleNormal="100" workbookViewId="0">
      <selection activeCell="A86" sqref="A86"/>
    </sheetView>
  </sheetViews>
  <sheetFormatPr defaultRowHeight="12.75" x14ac:dyDescent="0.2"/>
  <cols>
    <col min="1" max="1" width="31.7109375" style="31" bestFit="1" customWidth="1"/>
    <col min="2" max="10" width="10" style="21" customWidth="1"/>
    <col min="11" max="11" width="12.85546875" style="21" customWidth="1"/>
    <col min="12" max="15" width="10" style="21" customWidth="1"/>
    <col min="16" max="16" width="14" style="21" customWidth="1"/>
    <col min="17" max="17" width="10" style="21" customWidth="1"/>
    <col min="18" max="16384" width="9.140625" style="16"/>
  </cols>
  <sheetData>
    <row r="1" spans="1:17" ht="15" x14ac:dyDescent="0.25">
      <c r="A1" s="109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7.5" customHeight="1" x14ac:dyDescent="0.2"/>
    <row r="3" spans="1:17" ht="12.75" customHeight="1" thickBot="1" x14ac:dyDescent="0.25">
      <c r="A3" s="31" t="s">
        <v>133</v>
      </c>
    </row>
    <row r="4" spans="1:17" s="5" customFormat="1" ht="38.25" customHeight="1" thickBot="1" x14ac:dyDescent="0.25">
      <c r="A4" s="25" t="s">
        <v>66</v>
      </c>
      <c r="B4" s="26" t="s">
        <v>38</v>
      </c>
      <c r="C4" s="32" t="s">
        <v>39</v>
      </c>
      <c r="D4" s="32" t="s">
        <v>40</v>
      </c>
      <c r="E4" s="32" t="s">
        <v>41</v>
      </c>
      <c r="F4" s="32" t="s">
        <v>42</v>
      </c>
      <c r="G4" s="32" t="s">
        <v>43</v>
      </c>
      <c r="H4" s="32" t="s">
        <v>44</v>
      </c>
      <c r="I4" s="32" t="s">
        <v>45</v>
      </c>
      <c r="J4" s="32" t="s">
        <v>64</v>
      </c>
      <c r="K4" s="32" t="s">
        <v>46</v>
      </c>
      <c r="L4" s="32" t="s">
        <v>7</v>
      </c>
      <c r="M4" s="32" t="s">
        <v>76</v>
      </c>
      <c r="N4" s="32" t="s">
        <v>47</v>
      </c>
      <c r="O4" s="32" t="s">
        <v>48</v>
      </c>
      <c r="P4" s="27" t="s">
        <v>49</v>
      </c>
      <c r="Q4" s="24" t="s">
        <v>0</v>
      </c>
    </row>
    <row r="5" spans="1:17" ht="12.75" customHeight="1" x14ac:dyDescent="0.2">
      <c r="A5" s="23" t="s">
        <v>8</v>
      </c>
      <c r="B5" s="53" t="s">
        <v>132</v>
      </c>
      <c r="C5" s="67" t="s">
        <v>132</v>
      </c>
      <c r="D5" s="67" t="s">
        <v>132</v>
      </c>
      <c r="E5" s="67">
        <v>1.36797162723635E-3</v>
      </c>
      <c r="F5" s="67">
        <v>6.0852852136399895E-7</v>
      </c>
      <c r="G5" s="67">
        <v>8.6757230836941395E-5</v>
      </c>
      <c r="H5" s="67" t="s">
        <v>132</v>
      </c>
      <c r="I5" s="67">
        <v>2.4996794616129002E-4</v>
      </c>
      <c r="J5" s="67">
        <v>1.52143906128823E-3</v>
      </c>
      <c r="K5" s="67">
        <v>6.5712336880555501E-4</v>
      </c>
      <c r="L5" s="67">
        <v>1.8713951594045899E-4</v>
      </c>
      <c r="M5" s="67">
        <v>3.0155141458073599E-5</v>
      </c>
      <c r="N5" s="67" t="s">
        <v>132</v>
      </c>
      <c r="O5" s="67" t="s">
        <v>132</v>
      </c>
      <c r="P5" s="56">
        <v>2.6036230588514299E-5</v>
      </c>
      <c r="Q5" s="58">
        <v>4.127198650836778E-3</v>
      </c>
    </row>
    <row r="6" spans="1:17" ht="12.75" customHeight="1" x14ac:dyDescent="0.2">
      <c r="A6" s="22" t="s">
        <v>9</v>
      </c>
      <c r="B6" s="54">
        <v>1.6955455565739301E-3</v>
      </c>
      <c r="C6" s="66" t="s">
        <v>132</v>
      </c>
      <c r="D6" s="66">
        <v>1.9475517943084201E-3</v>
      </c>
      <c r="E6" s="66">
        <v>1.92640684487402E-3</v>
      </c>
      <c r="F6" s="66">
        <v>7.2869244094977395E-4</v>
      </c>
      <c r="G6" s="66">
        <v>5.7682021305954898E-4</v>
      </c>
      <c r="H6" s="66" t="s">
        <v>132</v>
      </c>
      <c r="I6" s="66">
        <v>3.6736864409738201E-4</v>
      </c>
      <c r="J6" s="66">
        <v>1.5782321594855599E-4</v>
      </c>
      <c r="K6" s="66">
        <v>1.6229669796151199E-3</v>
      </c>
      <c r="L6" s="66">
        <v>1.5622368605460501E-3</v>
      </c>
      <c r="M6" s="66">
        <v>1.1700346150652801E-3</v>
      </c>
      <c r="N6" s="66" t="s">
        <v>132</v>
      </c>
      <c r="O6" s="66" t="s">
        <v>132</v>
      </c>
      <c r="P6" s="55">
        <v>1.06969167872091E-4</v>
      </c>
      <c r="Q6" s="59">
        <v>1.1862416332910174E-2</v>
      </c>
    </row>
    <row r="7" spans="1:17" ht="12.75" customHeight="1" x14ac:dyDescent="0.2">
      <c r="A7" s="23" t="s">
        <v>10</v>
      </c>
      <c r="B7" s="53">
        <v>3.91189158557114E-5</v>
      </c>
      <c r="C7" s="67">
        <v>9.7364563418239799E-6</v>
      </c>
      <c r="D7" s="67">
        <v>8.3419738756287696E-6</v>
      </c>
      <c r="E7" s="67">
        <v>5.2942041399759896E-4</v>
      </c>
      <c r="F7" s="67">
        <v>1.8255855640919999E-6</v>
      </c>
      <c r="G7" s="67">
        <v>1.7603376490231702E-5</v>
      </c>
      <c r="H7" s="67">
        <v>6.0852852136399895E-7</v>
      </c>
      <c r="I7" s="67">
        <v>7.7803749475943299E-6</v>
      </c>
      <c r="J7" s="67">
        <v>9.2363127301519894E-5</v>
      </c>
      <c r="K7" s="67">
        <v>2.599227995919E-5</v>
      </c>
      <c r="L7" s="67">
        <v>9.6056626152858001E-5</v>
      </c>
      <c r="M7" s="67">
        <v>2.7339534935655102E-4</v>
      </c>
      <c r="N7" s="67" t="s">
        <v>132</v>
      </c>
      <c r="O7" s="67" t="s">
        <v>132</v>
      </c>
      <c r="P7" s="56">
        <v>2.0993555958140399E-5</v>
      </c>
      <c r="Q7" s="58">
        <v>1.1232365643223045E-3</v>
      </c>
    </row>
    <row r="8" spans="1:17" ht="12.75" customHeight="1" x14ac:dyDescent="0.2">
      <c r="A8" s="22" t="s">
        <v>11</v>
      </c>
      <c r="B8" s="54" t="s">
        <v>132</v>
      </c>
      <c r="C8" s="66">
        <v>1.5213213034100001E-5</v>
      </c>
      <c r="D8" s="66">
        <v>5.41044902543951E-4</v>
      </c>
      <c r="E8" s="66">
        <v>3.2137686626381801E-4</v>
      </c>
      <c r="F8" s="66" t="s">
        <v>132</v>
      </c>
      <c r="G8" s="66">
        <v>5.82429355336468E-6</v>
      </c>
      <c r="H8" s="66" t="s">
        <v>132</v>
      </c>
      <c r="I8" s="66">
        <v>2.6775254940016001E-5</v>
      </c>
      <c r="J8" s="66">
        <v>2.3620947701595298E-3</v>
      </c>
      <c r="K8" s="66">
        <v>1.1639770296031E-4</v>
      </c>
      <c r="L8" s="66">
        <v>8.4557466822599101E-4</v>
      </c>
      <c r="M8" s="66">
        <v>6.9377166726537797E-4</v>
      </c>
      <c r="N8" s="66">
        <v>1.4560733883411701E-5</v>
      </c>
      <c r="O8" s="66">
        <v>2.98604921183251E-5</v>
      </c>
      <c r="P8" s="55">
        <v>6.4589212407562094E-5</v>
      </c>
      <c r="Q8" s="59">
        <v>5.0370837773557565E-3</v>
      </c>
    </row>
    <row r="9" spans="1:17" ht="12.75" customHeight="1" x14ac:dyDescent="0.2">
      <c r="A9" s="23" t="s">
        <v>12</v>
      </c>
      <c r="B9" s="53" t="s">
        <v>132</v>
      </c>
      <c r="C9" s="67" t="s">
        <v>132</v>
      </c>
      <c r="D9" s="67" t="s">
        <v>132</v>
      </c>
      <c r="E9" s="67">
        <v>1.5430254065051E-5</v>
      </c>
      <c r="F9" s="67">
        <v>2.91214677668234E-6</v>
      </c>
      <c r="G9" s="67">
        <v>7.6498791174566801E-6</v>
      </c>
      <c r="H9" s="67" t="s">
        <v>132</v>
      </c>
      <c r="I9" s="67">
        <v>1.217057042728E-6</v>
      </c>
      <c r="J9" s="67">
        <v>2.22614574567043E-4</v>
      </c>
      <c r="K9" s="67">
        <v>1.1136071940961201E-4</v>
      </c>
      <c r="L9" s="67">
        <v>6.0799406667459699E-4</v>
      </c>
      <c r="M9" s="67">
        <v>2.7250124835733699E-3</v>
      </c>
      <c r="N9" s="67">
        <v>1.1648587106729401E-5</v>
      </c>
      <c r="O9" s="67">
        <v>4.98744178303054E-5</v>
      </c>
      <c r="P9" s="56">
        <v>1.40827011921854E-5</v>
      </c>
      <c r="Q9" s="58">
        <v>3.7697968873557607E-3</v>
      </c>
    </row>
    <row r="10" spans="1:17" ht="12.75" customHeight="1" x14ac:dyDescent="0.2">
      <c r="A10" s="22" t="s">
        <v>13</v>
      </c>
      <c r="B10" s="54" t="s">
        <v>132</v>
      </c>
      <c r="C10" s="66" t="s">
        <v>132</v>
      </c>
      <c r="D10" s="66" t="s">
        <v>132</v>
      </c>
      <c r="E10" s="66" t="s">
        <v>132</v>
      </c>
      <c r="F10" s="66" t="s">
        <v>132</v>
      </c>
      <c r="G10" s="66" t="s">
        <v>132</v>
      </c>
      <c r="H10" s="66" t="s">
        <v>132</v>
      </c>
      <c r="I10" s="66" t="s">
        <v>132</v>
      </c>
      <c r="J10" s="66" t="s">
        <v>132</v>
      </c>
      <c r="K10" s="66">
        <v>1.217057042728E-6</v>
      </c>
      <c r="L10" s="66">
        <v>1.7125343799005401E-5</v>
      </c>
      <c r="M10" s="66">
        <v>3.0382475438875699E-5</v>
      </c>
      <c r="N10" s="66" t="s">
        <v>132</v>
      </c>
      <c r="O10" s="66" t="s">
        <v>132</v>
      </c>
      <c r="P10" s="55">
        <v>5.4767566922759903E-6</v>
      </c>
      <c r="Q10" s="59">
        <v>5.4201632972885089E-5</v>
      </c>
    </row>
    <row r="11" spans="1:17" ht="12.75" customHeight="1" x14ac:dyDescent="0.2">
      <c r="A11" s="23" t="s">
        <v>14</v>
      </c>
      <c r="B11" s="53" t="s">
        <v>132</v>
      </c>
      <c r="C11" s="67" t="s">
        <v>132</v>
      </c>
      <c r="D11" s="67" t="s">
        <v>132</v>
      </c>
      <c r="E11" s="67">
        <v>4.1292038194103398E-6</v>
      </c>
      <c r="F11" s="67" t="s">
        <v>132</v>
      </c>
      <c r="G11" s="67" t="s">
        <v>132</v>
      </c>
      <c r="H11" s="67" t="s">
        <v>132</v>
      </c>
      <c r="I11" s="67" t="s">
        <v>132</v>
      </c>
      <c r="J11" s="67" t="s">
        <v>132</v>
      </c>
      <c r="K11" s="67" t="s">
        <v>132</v>
      </c>
      <c r="L11" s="67">
        <v>1.00839932029127E-5</v>
      </c>
      <c r="M11" s="67">
        <v>1.00839932029127E-5</v>
      </c>
      <c r="N11" s="67" t="s">
        <v>132</v>
      </c>
      <c r="O11" s="67" t="s">
        <v>132</v>
      </c>
      <c r="P11" s="56">
        <v>2.91214677668234E-6</v>
      </c>
      <c r="Q11" s="58">
        <v>2.7209337001918077E-5</v>
      </c>
    </row>
    <row r="12" spans="1:17" ht="12.75" customHeight="1" x14ac:dyDescent="0.2">
      <c r="A12" s="22" t="s">
        <v>15</v>
      </c>
      <c r="B12" s="54" t="s">
        <v>132</v>
      </c>
      <c r="C12" s="66" t="s">
        <v>132</v>
      </c>
      <c r="D12" s="66" t="s">
        <v>132</v>
      </c>
      <c r="E12" s="66">
        <v>2.7817865523282001E-5</v>
      </c>
      <c r="F12" s="66" t="s">
        <v>132</v>
      </c>
      <c r="G12" s="66">
        <v>2.91214677668234E-6</v>
      </c>
      <c r="H12" s="66" t="s">
        <v>132</v>
      </c>
      <c r="I12" s="66" t="s">
        <v>132</v>
      </c>
      <c r="J12" s="66">
        <v>2.36886617038717E-5</v>
      </c>
      <c r="K12" s="66" t="s">
        <v>132</v>
      </c>
      <c r="L12" s="66">
        <v>3.39873094308187E-4</v>
      </c>
      <c r="M12" s="66">
        <v>1.7892900945618701E-4</v>
      </c>
      <c r="N12" s="66" t="s">
        <v>132</v>
      </c>
      <c r="O12" s="66">
        <v>2.91214677668234E-6</v>
      </c>
      <c r="P12" s="55">
        <v>2.3819157534009299E-5</v>
      </c>
      <c r="Q12" s="59">
        <v>5.9995208207890168E-4</v>
      </c>
    </row>
    <row r="13" spans="1:17" ht="12.75" customHeight="1" x14ac:dyDescent="0.2">
      <c r="A13" s="23" t="s">
        <v>16</v>
      </c>
      <c r="B13" s="53" t="s">
        <v>132</v>
      </c>
      <c r="C13" s="67" t="s">
        <v>132</v>
      </c>
      <c r="D13" s="67" t="s">
        <v>132</v>
      </c>
      <c r="E13" s="67" t="s">
        <v>132</v>
      </c>
      <c r="F13" s="67" t="s">
        <v>132</v>
      </c>
      <c r="G13" s="67" t="s">
        <v>132</v>
      </c>
      <c r="H13" s="67" t="s">
        <v>132</v>
      </c>
      <c r="I13" s="67" t="s">
        <v>132</v>
      </c>
      <c r="J13" s="67" t="s">
        <v>132</v>
      </c>
      <c r="K13" s="67" t="s">
        <v>132</v>
      </c>
      <c r="L13" s="67">
        <v>3.6511711281839901E-6</v>
      </c>
      <c r="M13" s="67">
        <v>2.2949637352370001E-5</v>
      </c>
      <c r="N13" s="67" t="s">
        <v>132</v>
      </c>
      <c r="O13" s="67" t="s">
        <v>132</v>
      </c>
      <c r="P13" s="56" t="s">
        <v>132</v>
      </c>
      <c r="Q13" s="58">
        <v>2.6600808480553991E-5</v>
      </c>
    </row>
    <row r="14" spans="1:17" ht="12.75" customHeight="1" x14ac:dyDescent="0.2">
      <c r="A14" s="22" t="s">
        <v>17</v>
      </c>
      <c r="B14" s="54" t="s">
        <v>132</v>
      </c>
      <c r="C14" s="66" t="s">
        <v>132</v>
      </c>
      <c r="D14" s="66" t="s">
        <v>132</v>
      </c>
      <c r="E14" s="66">
        <v>1.3387627470008001E-5</v>
      </c>
      <c r="F14" s="66" t="s">
        <v>132</v>
      </c>
      <c r="G14" s="66" t="s">
        <v>132</v>
      </c>
      <c r="H14" s="66" t="s">
        <v>132</v>
      </c>
      <c r="I14" s="66" t="s">
        <v>132</v>
      </c>
      <c r="J14" s="66">
        <v>9.3449688514110203E-6</v>
      </c>
      <c r="K14" s="66">
        <v>9.3449688514110203E-6</v>
      </c>
      <c r="L14" s="66">
        <v>6.1764966889528295E-5</v>
      </c>
      <c r="M14" s="66">
        <v>3.0466041675683801E-5</v>
      </c>
      <c r="N14" s="66" t="s">
        <v>132</v>
      </c>
      <c r="O14" s="66" t="s">
        <v>132</v>
      </c>
      <c r="P14" s="55">
        <v>1.217057042728E-6</v>
      </c>
      <c r="Q14" s="59">
        <v>1.2552563078077012E-4</v>
      </c>
    </row>
    <row r="15" spans="1:17" ht="12.75" customHeight="1" x14ac:dyDescent="0.2">
      <c r="A15" s="23" t="s">
        <v>79</v>
      </c>
      <c r="B15" s="53" t="s">
        <v>132</v>
      </c>
      <c r="C15" s="67" t="s">
        <v>132</v>
      </c>
      <c r="D15" s="67" t="s">
        <v>132</v>
      </c>
      <c r="E15" s="67">
        <v>1.0510098773650999E-4</v>
      </c>
      <c r="F15" s="67" t="s">
        <v>132</v>
      </c>
      <c r="G15" s="67" t="s">
        <v>132</v>
      </c>
      <c r="H15" s="67" t="s">
        <v>132</v>
      </c>
      <c r="I15" s="67" t="s">
        <v>132</v>
      </c>
      <c r="J15" s="67" t="s">
        <v>132</v>
      </c>
      <c r="K15" s="67">
        <v>1.8255855640919999E-6</v>
      </c>
      <c r="L15" s="67" t="s">
        <v>132</v>
      </c>
      <c r="M15" s="67" t="s">
        <v>132</v>
      </c>
      <c r="N15" s="67" t="s">
        <v>132</v>
      </c>
      <c r="O15" s="67" t="s">
        <v>132</v>
      </c>
      <c r="P15" s="56" t="s">
        <v>132</v>
      </c>
      <c r="Q15" s="58">
        <v>1.0692657330060199E-4</v>
      </c>
    </row>
    <row r="16" spans="1:17" ht="12.75" customHeight="1" x14ac:dyDescent="0.2">
      <c r="A16" s="22" t="s">
        <v>80</v>
      </c>
      <c r="B16" s="54" t="s">
        <v>132</v>
      </c>
      <c r="C16" s="66" t="s">
        <v>132</v>
      </c>
      <c r="D16" s="66">
        <v>6.0852852136399895E-7</v>
      </c>
      <c r="E16" s="66">
        <v>2.91214677668234E-6</v>
      </c>
      <c r="F16" s="66" t="s">
        <v>132</v>
      </c>
      <c r="G16" s="66" t="s">
        <v>132</v>
      </c>
      <c r="H16" s="66" t="s">
        <v>132</v>
      </c>
      <c r="I16" s="66" t="s">
        <v>132</v>
      </c>
      <c r="J16" s="66" t="s">
        <v>132</v>
      </c>
      <c r="K16" s="66" t="s">
        <v>132</v>
      </c>
      <c r="L16" s="66">
        <v>5.9286902174748002E-5</v>
      </c>
      <c r="M16" s="66">
        <v>1.3025902809970399E-4</v>
      </c>
      <c r="N16" s="66" t="s">
        <v>132</v>
      </c>
      <c r="O16" s="66">
        <v>8.7364403300470208E-6</v>
      </c>
      <c r="P16" s="55">
        <v>5.88954146843351E-5</v>
      </c>
      <c r="Q16" s="59">
        <v>2.6069846058688045E-4</v>
      </c>
    </row>
    <row r="17" spans="1:17" ht="12.75" customHeight="1" x14ac:dyDescent="0.2">
      <c r="A17" s="23" t="s">
        <v>18</v>
      </c>
      <c r="B17" s="53" t="s">
        <v>132</v>
      </c>
      <c r="C17" s="67" t="s">
        <v>132</v>
      </c>
      <c r="D17" s="67" t="s">
        <v>132</v>
      </c>
      <c r="E17" s="67">
        <v>8.7364403300470208E-6</v>
      </c>
      <c r="F17" s="67" t="s">
        <v>132</v>
      </c>
      <c r="G17" s="67" t="s">
        <v>132</v>
      </c>
      <c r="H17" s="67" t="s">
        <v>132</v>
      </c>
      <c r="I17" s="67" t="s">
        <v>132</v>
      </c>
      <c r="J17" s="67" t="s">
        <v>132</v>
      </c>
      <c r="K17" s="67" t="s">
        <v>132</v>
      </c>
      <c r="L17" s="67" t="s">
        <v>132</v>
      </c>
      <c r="M17" s="67" t="s">
        <v>132</v>
      </c>
      <c r="N17" s="67" t="s">
        <v>132</v>
      </c>
      <c r="O17" s="67" t="s">
        <v>132</v>
      </c>
      <c r="P17" s="56" t="s">
        <v>132</v>
      </c>
      <c r="Q17" s="58">
        <v>8.7364403300470208E-6</v>
      </c>
    </row>
    <row r="18" spans="1:17" ht="12.75" customHeight="1" x14ac:dyDescent="0.2">
      <c r="A18" s="22" t="s">
        <v>78</v>
      </c>
      <c r="B18" s="54" t="s">
        <v>132</v>
      </c>
      <c r="C18" s="66" t="s">
        <v>132</v>
      </c>
      <c r="D18" s="66" t="s">
        <v>132</v>
      </c>
      <c r="E18" s="66">
        <v>3.5323928016020199E-4</v>
      </c>
      <c r="F18" s="66" t="s">
        <v>132</v>
      </c>
      <c r="G18" s="66">
        <v>2.91214677668234E-6</v>
      </c>
      <c r="H18" s="66" t="s">
        <v>132</v>
      </c>
      <c r="I18" s="66" t="s">
        <v>132</v>
      </c>
      <c r="J18" s="66">
        <v>6.0852852136399895E-7</v>
      </c>
      <c r="K18" s="66">
        <v>1.9091518009000902E-6</v>
      </c>
      <c r="L18" s="66">
        <v>4.7377323407743401E-6</v>
      </c>
      <c r="M18" s="66">
        <v>2.0385027436776401E-5</v>
      </c>
      <c r="N18" s="66" t="s">
        <v>132</v>
      </c>
      <c r="O18" s="66" t="s">
        <v>132</v>
      </c>
      <c r="P18" s="55">
        <v>2.91214677668234E-6</v>
      </c>
      <c r="Q18" s="59">
        <v>3.8670401381338151E-4</v>
      </c>
    </row>
    <row r="19" spans="1:17" ht="12.75" customHeight="1" x14ac:dyDescent="0.2">
      <c r="A19" s="23" t="s">
        <v>33</v>
      </c>
      <c r="B19" s="53">
        <v>1.14931830164527E-3</v>
      </c>
      <c r="C19" s="67">
        <v>1.6409464114683699E-3</v>
      </c>
      <c r="D19" s="67">
        <v>3.4686125717747898E-5</v>
      </c>
      <c r="E19" s="67">
        <v>2.5697982284465602E-3</v>
      </c>
      <c r="F19" s="67" t="s">
        <v>132</v>
      </c>
      <c r="G19" s="67">
        <v>2.9948122165406602E-4</v>
      </c>
      <c r="H19" s="67">
        <v>1.8876351324035999E-3</v>
      </c>
      <c r="I19" s="67">
        <v>3.7638195556037998E-3</v>
      </c>
      <c r="J19" s="67">
        <v>3.3469068675019902E-5</v>
      </c>
      <c r="K19" s="67">
        <v>8.0420964540942595E-4</v>
      </c>
      <c r="L19" s="67">
        <v>6.28389186925406E-3</v>
      </c>
      <c r="M19" s="67">
        <v>4.9285601532850405E-4</v>
      </c>
      <c r="N19" s="67" t="s">
        <v>132</v>
      </c>
      <c r="O19" s="67" t="s">
        <v>132</v>
      </c>
      <c r="P19" s="56">
        <v>2.15419096562856E-4</v>
      </c>
      <c r="Q19" s="58">
        <v>1.9175530672169282E-2</v>
      </c>
    </row>
    <row r="20" spans="1:17" ht="12.75" customHeight="1" x14ac:dyDescent="0.2">
      <c r="A20" s="22" t="s">
        <v>34</v>
      </c>
      <c r="B20" s="54">
        <v>5.57147065735642E-4</v>
      </c>
      <c r="C20" s="66">
        <v>1.0323090911996001E-3</v>
      </c>
      <c r="D20" s="66">
        <v>4.9767486863875102E-5</v>
      </c>
      <c r="E20" s="66">
        <v>2.4644727086324399E-5</v>
      </c>
      <c r="F20" s="66" t="s">
        <v>132</v>
      </c>
      <c r="G20" s="66" t="s">
        <v>132</v>
      </c>
      <c r="H20" s="66">
        <v>3.7953493710914401E-3</v>
      </c>
      <c r="I20" s="66">
        <v>1.9698743840463901E-4</v>
      </c>
      <c r="J20" s="66" t="s">
        <v>132</v>
      </c>
      <c r="K20" s="66" t="s">
        <v>132</v>
      </c>
      <c r="L20" s="66">
        <v>2.8022128182786301E-4</v>
      </c>
      <c r="M20" s="66">
        <v>3.28116520382652E-4</v>
      </c>
      <c r="N20" s="66" t="s">
        <v>132</v>
      </c>
      <c r="O20" s="66" t="s">
        <v>132</v>
      </c>
      <c r="P20" s="55">
        <v>4.6594348426917501E-5</v>
      </c>
      <c r="Q20" s="59">
        <v>6.3111373310189523E-3</v>
      </c>
    </row>
    <row r="21" spans="1:17" ht="12.75" customHeight="1" x14ac:dyDescent="0.2">
      <c r="A21" s="23" t="s">
        <v>35</v>
      </c>
      <c r="B21" s="53">
        <v>2.1693702772167801E-4</v>
      </c>
      <c r="C21" s="67">
        <v>2.4584693436675098E-3</v>
      </c>
      <c r="D21" s="67" t="s">
        <v>132</v>
      </c>
      <c r="E21" s="67">
        <v>2.35411280451384E-4</v>
      </c>
      <c r="F21" s="67" t="s">
        <v>132</v>
      </c>
      <c r="G21" s="67" t="s">
        <v>132</v>
      </c>
      <c r="H21" s="67">
        <v>1.6612828633237199E-4</v>
      </c>
      <c r="I21" s="67">
        <v>1.2779098948643999E-4</v>
      </c>
      <c r="J21" s="67" t="s">
        <v>132</v>
      </c>
      <c r="K21" s="67">
        <v>1.3996155991372E-5</v>
      </c>
      <c r="L21" s="67">
        <v>2.9091380355213999E-4</v>
      </c>
      <c r="M21" s="67">
        <v>3.8992543790150402E-4</v>
      </c>
      <c r="N21" s="67" t="s">
        <v>132</v>
      </c>
      <c r="O21" s="67" t="s">
        <v>132</v>
      </c>
      <c r="P21" s="56" t="s">
        <v>132</v>
      </c>
      <c r="Q21" s="58">
        <v>3.8995723251043996E-3</v>
      </c>
    </row>
    <row r="22" spans="1:17" ht="12.75" customHeight="1" x14ac:dyDescent="0.2">
      <c r="A22" s="22" t="s">
        <v>36</v>
      </c>
      <c r="B22" s="54">
        <v>1.4604684512735999E-5</v>
      </c>
      <c r="C22" s="66">
        <v>7.5715816193740906E-5</v>
      </c>
      <c r="D22" s="66" t="s">
        <v>132</v>
      </c>
      <c r="E22" s="66" t="s">
        <v>132</v>
      </c>
      <c r="F22" s="66" t="s">
        <v>132</v>
      </c>
      <c r="G22" s="66" t="s">
        <v>132</v>
      </c>
      <c r="H22" s="66">
        <v>4.5639639102299899E-5</v>
      </c>
      <c r="I22" s="66">
        <v>1.3083363209325999E-4</v>
      </c>
      <c r="J22" s="66" t="s">
        <v>132</v>
      </c>
      <c r="K22" s="66" t="s">
        <v>132</v>
      </c>
      <c r="L22" s="66" t="s">
        <v>132</v>
      </c>
      <c r="M22" s="66">
        <v>1.0953513384551999E-5</v>
      </c>
      <c r="N22" s="66" t="s">
        <v>132</v>
      </c>
      <c r="O22" s="66" t="s">
        <v>132</v>
      </c>
      <c r="P22" s="55" t="s">
        <v>132</v>
      </c>
      <c r="Q22" s="59">
        <v>2.777472852865888E-4</v>
      </c>
    </row>
    <row r="23" spans="1:17" ht="12.75" customHeight="1" x14ac:dyDescent="0.2">
      <c r="A23" s="23" t="s">
        <v>6</v>
      </c>
      <c r="B23" s="53">
        <v>6.88496501271197E-4</v>
      </c>
      <c r="C23" s="67">
        <v>3.8214208398990501E-4</v>
      </c>
      <c r="D23" s="67">
        <v>1.40827011921854E-5</v>
      </c>
      <c r="E23" s="67">
        <v>3.3917669788529898E-4</v>
      </c>
      <c r="F23" s="67">
        <v>1.1648587106729401E-5</v>
      </c>
      <c r="G23" s="67">
        <v>9.1472987863053601E-5</v>
      </c>
      <c r="H23" s="67" t="s">
        <v>132</v>
      </c>
      <c r="I23" s="67" t="s">
        <v>132</v>
      </c>
      <c r="J23" s="67">
        <v>6.0852852136399898E-6</v>
      </c>
      <c r="K23" s="67">
        <v>4.4943209322287402E-5</v>
      </c>
      <c r="L23" s="67">
        <v>5.1658158052418895E-4</v>
      </c>
      <c r="M23" s="67">
        <v>4.8954642313339799E-4</v>
      </c>
      <c r="N23" s="67" t="s">
        <v>132</v>
      </c>
      <c r="O23" s="67" t="s">
        <v>132</v>
      </c>
      <c r="P23" s="56">
        <v>3.6511711281839901E-6</v>
      </c>
      <c r="Q23" s="58">
        <v>2.5878272286300676E-3</v>
      </c>
    </row>
    <row r="24" spans="1:17" ht="12.75" customHeight="1" thickBot="1" x14ac:dyDescent="0.25">
      <c r="A24" s="9" t="s">
        <v>37</v>
      </c>
      <c r="B24" s="10" t="s">
        <v>132</v>
      </c>
      <c r="C24" s="6" t="s">
        <v>132</v>
      </c>
      <c r="D24" s="6" t="s">
        <v>132</v>
      </c>
      <c r="E24" s="6">
        <v>8.6209148350363204E-5</v>
      </c>
      <c r="F24" s="6">
        <v>8.5193992990959792E-6</v>
      </c>
      <c r="G24" s="6">
        <v>1.4865269355660699E-4</v>
      </c>
      <c r="H24" s="6" t="s">
        <v>132</v>
      </c>
      <c r="I24" s="6" t="s">
        <v>132</v>
      </c>
      <c r="J24" s="6">
        <v>6.7269888009227001E-4</v>
      </c>
      <c r="K24" s="6">
        <v>2.9668385352632899E-4</v>
      </c>
      <c r="L24" s="6">
        <v>6.39887197005939E-3</v>
      </c>
      <c r="M24" s="6">
        <v>7.3216969931516596E-4</v>
      </c>
      <c r="N24" s="6" t="s">
        <v>132</v>
      </c>
      <c r="O24" s="6" t="s">
        <v>132</v>
      </c>
      <c r="P24" s="7">
        <v>7.3859084931760796E-6</v>
      </c>
      <c r="Q24" s="11">
        <v>8.3511915526923979E-3</v>
      </c>
    </row>
    <row r="25" spans="1:17" ht="12.75" customHeight="1" thickTop="1" thickBot="1" x14ac:dyDescent="0.25">
      <c r="A25" s="8" t="s">
        <v>0</v>
      </c>
      <c r="B25" s="13">
        <v>4.3611680533161652E-3</v>
      </c>
      <c r="C25" s="73">
        <v>5.6145324158950495E-3</v>
      </c>
      <c r="D25" s="73">
        <v>2.596083513023172E-3</v>
      </c>
      <c r="E25" s="73">
        <v>7.9311696404729126E-3</v>
      </c>
      <c r="F25" s="73">
        <v>7.5420668821773768E-4</v>
      </c>
      <c r="G25" s="73">
        <v>1.2400861896846348E-3</v>
      </c>
      <c r="H25" s="73">
        <v>5.8953609574510756E-3</v>
      </c>
      <c r="I25" s="73">
        <v>4.8725408927771489E-3</v>
      </c>
      <c r="J25" s="73">
        <v>5.1022301423224552E-3</v>
      </c>
      <c r="K25" s="73">
        <v>3.707970678258332E-3</v>
      </c>
      <c r="L25" s="73">
        <v>1.7566005446600939E-2</v>
      </c>
      <c r="M25" s="73">
        <v>7.7593920788269367E-3</v>
      </c>
      <c r="N25" s="73">
        <v>2.6209320990141103E-5</v>
      </c>
      <c r="O25" s="73">
        <v>9.138349705535986E-5</v>
      </c>
      <c r="P25" s="15">
        <v>6.0095407213633977E-4</v>
      </c>
      <c r="Q25" s="12">
        <v>6.8119293587028396E-2</v>
      </c>
    </row>
    <row r="28" spans="1:17" ht="15" x14ac:dyDescent="0.25">
      <c r="A28" s="100" t="s">
        <v>102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</row>
    <row r="29" spans="1:17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13.5" thickBot="1" x14ac:dyDescent="0.25">
      <c r="A30" s="31" t="s">
        <v>133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39" thickBot="1" x14ac:dyDescent="0.25">
      <c r="A31" s="25" t="s">
        <v>88</v>
      </c>
      <c r="B31" s="26" t="s">
        <v>38</v>
      </c>
      <c r="C31" s="32" t="s">
        <v>39</v>
      </c>
      <c r="D31" s="32" t="s">
        <v>40</v>
      </c>
      <c r="E31" s="32" t="s">
        <v>41</v>
      </c>
      <c r="F31" s="32" t="s">
        <v>42</v>
      </c>
      <c r="G31" s="32" t="s">
        <v>43</v>
      </c>
      <c r="H31" s="32" t="s">
        <v>44</v>
      </c>
      <c r="I31" s="32" t="s">
        <v>45</v>
      </c>
      <c r="J31" s="32" t="s">
        <v>64</v>
      </c>
      <c r="K31" s="32" t="s">
        <v>46</v>
      </c>
      <c r="L31" s="32" t="s">
        <v>7</v>
      </c>
      <c r="M31" s="32" t="s">
        <v>76</v>
      </c>
      <c r="N31" s="32" t="s">
        <v>47</v>
      </c>
      <c r="O31" s="32" t="s">
        <v>48</v>
      </c>
      <c r="P31" s="27" t="s">
        <v>49</v>
      </c>
      <c r="Q31" s="24" t="s">
        <v>0</v>
      </c>
    </row>
    <row r="32" spans="1:17" x14ac:dyDescent="0.2">
      <c r="A32" s="23" t="s">
        <v>8</v>
      </c>
      <c r="B32" s="53" t="s">
        <v>132</v>
      </c>
      <c r="C32" s="67" t="s">
        <v>132</v>
      </c>
      <c r="D32" s="67" t="s">
        <v>132</v>
      </c>
      <c r="E32" s="67">
        <v>7.9887019867920604E-4</v>
      </c>
      <c r="F32" s="67" t="s">
        <v>132</v>
      </c>
      <c r="G32" s="67">
        <v>5.48580393942803E-5</v>
      </c>
      <c r="H32" s="67" t="s">
        <v>132</v>
      </c>
      <c r="I32" s="67">
        <v>2.4343254981211901E-4</v>
      </c>
      <c r="J32" s="67">
        <v>1.02995968962761E-3</v>
      </c>
      <c r="K32" s="67">
        <v>4.6286470738923899E-4</v>
      </c>
      <c r="L32" s="67">
        <v>1.02858823864275E-4</v>
      </c>
      <c r="M32" s="67">
        <v>1.37145098485701E-5</v>
      </c>
      <c r="N32" s="67" t="s">
        <v>132</v>
      </c>
      <c r="O32" s="67" t="s">
        <v>132</v>
      </c>
      <c r="P32" s="56">
        <v>3.42862746214252E-6</v>
      </c>
      <c r="Q32" s="58">
        <v>2.7099871460774419E-3</v>
      </c>
    </row>
    <row r="33" spans="1:17" x14ac:dyDescent="0.2">
      <c r="A33" s="22" t="s">
        <v>9</v>
      </c>
      <c r="B33" s="54">
        <v>1.4880243185698501E-3</v>
      </c>
      <c r="C33" s="66" t="s">
        <v>132</v>
      </c>
      <c r="D33" s="66">
        <v>1.77602902538982E-3</v>
      </c>
      <c r="E33" s="66">
        <v>9.5658706193776195E-4</v>
      </c>
      <c r="F33" s="66">
        <v>3.6686313844924901E-4</v>
      </c>
      <c r="G33" s="66">
        <v>5.1772274678351998E-4</v>
      </c>
      <c r="H33" s="66" t="s">
        <v>132</v>
      </c>
      <c r="I33" s="66">
        <v>3.0857647159282601E-4</v>
      </c>
      <c r="J33" s="66">
        <v>1.06287451326418E-4</v>
      </c>
      <c r="K33" s="66">
        <v>6.1029568826136799E-4</v>
      </c>
      <c r="L33" s="66">
        <v>9.2230078731633705E-4</v>
      </c>
      <c r="M33" s="66">
        <v>6.5486784526922002E-4</v>
      </c>
      <c r="N33" s="66" t="s">
        <v>132</v>
      </c>
      <c r="O33" s="66" t="s">
        <v>132</v>
      </c>
      <c r="P33" s="55">
        <v>5.1429411932137698E-5</v>
      </c>
      <c r="Q33" s="59">
        <v>7.7589839468285085E-3</v>
      </c>
    </row>
    <row r="34" spans="1:17" x14ac:dyDescent="0.2">
      <c r="A34" s="23" t="s">
        <v>10</v>
      </c>
      <c r="B34" s="53">
        <v>2.7429019799321201E-5</v>
      </c>
      <c r="C34" s="67" t="s">
        <v>132</v>
      </c>
      <c r="D34" s="67">
        <v>6.8572549242850299E-6</v>
      </c>
      <c r="E34" s="67">
        <v>3.25719608903539E-4</v>
      </c>
      <c r="F34" s="67" t="s">
        <v>132</v>
      </c>
      <c r="G34" s="67">
        <v>1.71431373107126E-5</v>
      </c>
      <c r="H34" s="67" t="s">
        <v>132</v>
      </c>
      <c r="I34" s="67">
        <v>3.42862746214252E-6</v>
      </c>
      <c r="J34" s="67">
        <v>9.9430196402132894E-5</v>
      </c>
      <c r="K34" s="67">
        <v>2.0571764772855101E-5</v>
      </c>
      <c r="L34" s="67">
        <v>2.0571764772855101E-5</v>
      </c>
      <c r="M34" s="67">
        <v>1.5771686325855599E-4</v>
      </c>
      <c r="N34" s="67" t="s">
        <v>132</v>
      </c>
      <c r="O34" s="67" t="s">
        <v>132</v>
      </c>
      <c r="P34" s="56">
        <v>2.4000392234997598E-5</v>
      </c>
      <c r="Q34" s="58">
        <v>7.0286862984139708E-4</v>
      </c>
    </row>
    <row r="35" spans="1:17" x14ac:dyDescent="0.2">
      <c r="A35" s="22" t="s">
        <v>11</v>
      </c>
      <c r="B35" s="54" t="s">
        <v>132</v>
      </c>
      <c r="C35" s="66" t="s">
        <v>132</v>
      </c>
      <c r="D35" s="66">
        <v>1.20001961174988E-4</v>
      </c>
      <c r="E35" s="66">
        <v>2.2628941250140601E-4</v>
      </c>
      <c r="F35" s="66" t="s">
        <v>132</v>
      </c>
      <c r="G35" s="66">
        <v>6.8572549242850299E-6</v>
      </c>
      <c r="H35" s="66" t="s">
        <v>132</v>
      </c>
      <c r="I35" s="66" t="s">
        <v>132</v>
      </c>
      <c r="J35" s="66">
        <v>1.1451615723556E-3</v>
      </c>
      <c r="K35" s="66">
        <v>6.1715294318565302E-5</v>
      </c>
      <c r="L35" s="66">
        <v>6.7886823750421801E-4</v>
      </c>
      <c r="M35" s="66">
        <v>3.8400627575996201E-4</v>
      </c>
      <c r="N35" s="66">
        <v>1.71431373107126E-5</v>
      </c>
      <c r="O35" s="66">
        <v>3.0857647159282597E-5</v>
      </c>
      <c r="P35" s="55">
        <v>6.1715294318565302E-5</v>
      </c>
      <c r="Q35" s="59">
        <v>2.7326160873275846E-3</v>
      </c>
    </row>
    <row r="36" spans="1:17" x14ac:dyDescent="0.2">
      <c r="A36" s="23" t="s">
        <v>12</v>
      </c>
      <c r="B36" s="53" t="s">
        <v>132</v>
      </c>
      <c r="C36" s="67" t="s">
        <v>132</v>
      </c>
      <c r="D36" s="67" t="s">
        <v>132</v>
      </c>
      <c r="E36" s="67">
        <v>1.02858823864275E-5</v>
      </c>
      <c r="F36" s="67">
        <v>3.42862746214252E-6</v>
      </c>
      <c r="G36" s="67">
        <v>6.8572549242850299E-6</v>
      </c>
      <c r="H36" s="67" t="s">
        <v>132</v>
      </c>
      <c r="I36" s="67" t="s">
        <v>132</v>
      </c>
      <c r="J36" s="67">
        <v>1.0971607878856099E-4</v>
      </c>
      <c r="K36" s="67" t="s">
        <v>132</v>
      </c>
      <c r="L36" s="67">
        <v>3.3600549128996602E-4</v>
      </c>
      <c r="M36" s="67">
        <v>1.2343058863713099E-3</v>
      </c>
      <c r="N36" s="67">
        <v>1.37145098485701E-5</v>
      </c>
      <c r="O36" s="67">
        <v>4.8000784469995197E-5</v>
      </c>
      <c r="P36" s="56">
        <v>1.37145098485701E-5</v>
      </c>
      <c r="Q36" s="58">
        <v>1.7760290253898271E-3</v>
      </c>
    </row>
    <row r="37" spans="1:17" x14ac:dyDescent="0.2">
      <c r="A37" s="22" t="s">
        <v>13</v>
      </c>
      <c r="B37" s="54" t="s">
        <v>132</v>
      </c>
      <c r="C37" s="66" t="s">
        <v>132</v>
      </c>
      <c r="D37" s="66" t="s">
        <v>132</v>
      </c>
      <c r="E37" s="66" t="s">
        <v>132</v>
      </c>
      <c r="F37" s="66" t="s">
        <v>132</v>
      </c>
      <c r="G37" s="66" t="s">
        <v>132</v>
      </c>
      <c r="H37" s="66" t="s">
        <v>132</v>
      </c>
      <c r="I37" s="66" t="s">
        <v>132</v>
      </c>
      <c r="J37" s="66" t="s">
        <v>132</v>
      </c>
      <c r="K37" s="66" t="s">
        <v>132</v>
      </c>
      <c r="L37" s="66">
        <v>1.37145098485701E-5</v>
      </c>
      <c r="M37" s="66">
        <v>1.71431373107126E-5</v>
      </c>
      <c r="N37" s="66" t="s">
        <v>132</v>
      </c>
      <c r="O37" s="66" t="s">
        <v>132</v>
      </c>
      <c r="P37" s="55" t="s">
        <v>132</v>
      </c>
      <c r="Q37" s="59">
        <v>3.0857647159282699E-5</v>
      </c>
    </row>
    <row r="38" spans="1:17" x14ac:dyDescent="0.2">
      <c r="A38" s="23" t="s">
        <v>14</v>
      </c>
      <c r="B38" s="53" t="s">
        <v>132</v>
      </c>
      <c r="C38" s="67" t="s">
        <v>132</v>
      </c>
      <c r="D38" s="67" t="s">
        <v>132</v>
      </c>
      <c r="E38" s="67">
        <v>3.42862746214252E-6</v>
      </c>
      <c r="F38" s="67" t="s">
        <v>132</v>
      </c>
      <c r="G38" s="67" t="s">
        <v>132</v>
      </c>
      <c r="H38" s="67" t="s">
        <v>132</v>
      </c>
      <c r="I38" s="67" t="s">
        <v>132</v>
      </c>
      <c r="J38" s="67" t="s">
        <v>132</v>
      </c>
      <c r="K38" s="67" t="s">
        <v>132</v>
      </c>
      <c r="L38" s="67">
        <v>6.8572549242850299E-6</v>
      </c>
      <c r="M38" s="67">
        <v>6.8572549242850299E-6</v>
      </c>
      <c r="N38" s="67" t="s">
        <v>132</v>
      </c>
      <c r="O38" s="67" t="s">
        <v>132</v>
      </c>
      <c r="P38" s="56">
        <v>3.42862746214252E-6</v>
      </c>
      <c r="Q38" s="58">
        <v>2.0571764772855101E-5</v>
      </c>
    </row>
    <row r="39" spans="1:17" x14ac:dyDescent="0.2">
      <c r="A39" s="22" t="s">
        <v>15</v>
      </c>
      <c r="B39" s="54" t="s">
        <v>132</v>
      </c>
      <c r="C39" s="66" t="s">
        <v>132</v>
      </c>
      <c r="D39" s="66" t="s">
        <v>132</v>
      </c>
      <c r="E39" s="66">
        <v>2.0571764772855101E-5</v>
      </c>
      <c r="F39" s="66" t="s">
        <v>132</v>
      </c>
      <c r="G39" s="66">
        <v>3.42862746214252E-6</v>
      </c>
      <c r="H39" s="66" t="s">
        <v>132</v>
      </c>
      <c r="I39" s="66" t="s">
        <v>132</v>
      </c>
      <c r="J39" s="66">
        <v>1.71431373107126E-5</v>
      </c>
      <c r="K39" s="66" t="s">
        <v>132</v>
      </c>
      <c r="L39" s="66">
        <v>1.8000294176248201E-4</v>
      </c>
      <c r="M39" s="66">
        <v>1.5771686325855599E-4</v>
      </c>
      <c r="N39" s="66" t="s">
        <v>132</v>
      </c>
      <c r="O39" s="66">
        <v>3.42862746214252E-6</v>
      </c>
      <c r="P39" s="55">
        <v>1.37145098485701E-5</v>
      </c>
      <c r="Q39" s="59">
        <v>3.9600647187746084E-4</v>
      </c>
    </row>
    <row r="40" spans="1:17" x14ac:dyDescent="0.2">
      <c r="A40" s="23" t="s">
        <v>16</v>
      </c>
      <c r="B40" s="53" t="s">
        <v>132</v>
      </c>
      <c r="C40" s="67" t="s">
        <v>132</v>
      </c>
      <c r="D40" s="67" t="s">
        <v>132</v>
      </c>
      <c r="E40" s="67" t="s">
        <v>132</v>
      </c>
      <c r="F40" s="67" t="s">
        <v>132</v>
      </c>
      <c r="G40" s="67" t="s">
        <v>132</v>
      </c>
      <c r="H40" s="67" t="s">
        <v>132</v>
      </c>
      <c r="I40" s="67" t="s">
        <v>132</v>
      </c>
      <c r="J40" s="67" t="s">
        <v>132</v>
      </c>
      <c r="K40" s="67" t="s">
        <v>132</v>
      </c>
      <c r="L40" s="67" t="s">
        <v>132</v>
      </c>
      <c r="M40" s="67">
        <v>2.0571764772855101E-5</v>
      </c>
      <c r="N40" s="67" t="s">
        <v>132</v>
      </c>
      <c r="O40" s="67" t="s">
        <v>132</v>
      </c>
      <c r="P40" s="56" t="s">
        <v>132</v>
      </c>
      <c r="Q40" s="58">
        <v>2.0571764772855101E-5</v>
      </c>
    </row>
    <row r="41" spans="1:17" x14ac:dyDescent="0.2">
      <c r="A41" s="22" t="s">
        <v>17</v>
      </c>
      <c r="B41" s="54" t="s">
        <v>132</v>
      </c>
      <c r="C41" s="66" t="s">
        <v>132</v>
      </c>
      <c r="D41" s="66" t="s">
        <v>132</v>
      </c>
      <c r="E41" s="66" t="s">
        <v>132</v>
      </c>
      <c r="F41" s="66" t="s">
        <v>132</v>
      </c>
      <c r="G41" s="66" t="s">
        <v>132</v>
      </c>
      <c r="H41" s="66" t="s">
        <v>132</v>
      </c>
      <c r="I41" s="66" t="s">
        <v>132</v>
      </c>
      <c r="J41" s="66">
        <v>1.02858823864275E-5</v>
      </c>
      <c r="K41" s="66">
        <v>1.02858823864275E-5</v>
      </c>
      <c r="L41" s="66">
        <v>2.4000392234997598E-5</v>
      </c>
      <c r="M41" s="66">
        <v>1.71431373107126E-5</v>
      </c>
      <c r="N41" s="66" t="s">
        <v>132</v>
      </c>
      <c r="O41" s="66" t="s">
        <v>132</v>
      </c>
      <c r="P41" s="55" t="s">
        <v>132</v>
      </c>
      <c r="Q41" s="59">
        <v>6.1715294318565194E-5</v>
      </c>
    </row>
    <row r="42" spans="1:17" x14ac:dyDescent="0.2">
      <c r="A42" s="23" t="s">
        <v>89</v>
      </c>
      <c r="B42" s="53" t="s">
        <v>132</v>
      </c>
      <c r="C42" s="67" t="s">
        <v>132</v>
      </c>
      <c r="D42" s="67" t="s">
        <v>132</v>
      </c>
      <c r="E42" s="67" t="s">
        <v>132</v>
      </c>
      <c r="F42" s="67" t="s">
        <v>132</v>
      </c>
      <c r="G42" s="67" t="s">
        <v>132</v>
      </c>
      <c r="H42" s="67" t="s">
        <v>132</v>
      </c>
      <c r="I42" s="67" t="s">
        <v>132</v>
      </c>
      <c r="J42" s="67" t="s">
        <v>132</v>
      </c>
      <c r="K42" s="67" t="s">
        <v>132</v>
      </c>
      <c r="L42" s="67" t="s">
        <v>132</v>
      </c>
      <c r="M42" s="67" t="s">
        <v>132</v>
      </c>
      <c r="N42" s="67" t="s">
        <v>132</v>
      </c>
      <c r="O42" s="67" t="s">
        <v>132</v>
      </c>
      <c r="P42" s="56" t="s">
        <v>132</v>
      </c>
      <c r="Q42" s="58" t="s">
        <v>132</v>
      </c>
    </row>
    <row r="43" spans="1:17" x14ac:dyDescent="0.2">
      <c r="A43" s="22" t="s">
        <v>79</v>
      </c>
      <c r="B43" s="54" t="s">
        <v>132</v>
      </c>
      <c r="C43" s="66" t="s">
        <v>132</v>
      </c>
      <c r="D43" s="66" t="s">
        <v>132</v>
      </c>
      <c r="E43" s="66">
        <v>2.0571764772855101E-5</v>
      </c>
      <c r="F43" s="66" t="s">
        <v>132</v>
      </c>
      <c r="G43" s="66" t="s">
        <v>132</v>
      </c>
      <c r="H43" s="66" t="s">
        <v>132</v>
      </c>
      <c r="I43" s="66" t="s">
        <v>132</v>
      </c>
      <c r="J43" s="66" t="s">
        <v>132</v>
      </c>
      <c r="K43" s="66" t="s">
        <v>132</v>
      </c>
      <c r="L43" s="66" t="s">
        <v>132</v>
      </c>
      <c r="M43" s="66" t="s">
        <v>132</v>
      </c>
      <c r="N43" s="66" t="s">
        <v>132</v>
      </c>
      <c r="O43" s="66" t="s">
        <v>132</v>
      </c>
      <c r="P43" s="55" t="s">
        <v>132</v>
      </c>
      <c r="Q43" s="59">
        <v>2.0571764772855101E-5</v>
      </c>
    </row>
    <row r="44" spans="1:17" x14ac:dyDescent="0.2">
      <c r="A44" s="23" t="s">
        <v>80</v>
      </c>
      <c r="B44" s="53" t="s">
        <v>132</v>
      </c>
      <c r="C44" s="67" t="s">
        <v>132</v>
      </c>
      <c r="D44" s="67" t="s">
        <v>132</v>
      </c>
      <c r="E44" s="67">
        <v>3.42862746214252E-6</v>
      </c>
      <c r="F44" s="67" t="s">
        <v>132</v>
      </c>
      <c r="G44" s="67" t="s">
        <v>132</v>
      </c>
      <c r="H44" s="67" t="s">
        <v>132</v>
      </c>
      <c r="I44" s="67" t="s">
        <v>132</v>
      </c>
      <c r="J44" s="67" t="s">
        <v>132</v>
      </c>
      <c r="K44" s="67" t="s">
        <v>132</v>
      </c>
      <c r="L44" s="67">
        <v>4.1143529545710202E-5</v>
      </c>
      <c r="M44" s="67">
        <v>9.9430196402133003E-5</v>
      </c>
      <c r="N44" s="67" t="s">
        <v>132</v>
      </c>
      <c r="O44" s="67">
        <v>1.02858823864275E-5</v>
      </c>
      <c r="P44" s="56">
        <v>5.1429411932137698E-5</v>
      </c>
      <c r="Q44" s="58">
        <v>2.0571764772855093E-4</v>
      </c>
    </row>
    <row r="45" spans="1:17" x14ac:dyDescent="0.2">
      <c r="A45" s="22" t="s">
        <v>18</v>
      </c>
      <c r="B45" s="54" t="s">
        <v>132</v>
      </c>
      <c r="C45" s="66" t="s">
        <v>132</v>
      </c>
      <c r="D45" s="66" t="s">
        <v>132</v>
      </c>
      <c r="E45" s="66">
        <v>1.02858823864275E-5</v>
      </c>
      <c r="F45" s="66" t="s">
        <v>132</v>
      </c>
      <c r="G45" s="66" t="s">
        <v>132</v>
      </c>
      <c r="H45" s="66" t="s">
        <v>132</v>
      </c>
      <c r="I45" s="66" t="s">
        <v>132</v>
      </c>
      <c r="J45" s="66" t="s">
        <v>132</v>
      </c>
      <c r="K45" s="66" t="s">
        <v>132</v>
      </c>
      <c r="L45" s="66" t="s">
        <v>132</v>
      </c>
      <c r="M45" s="66" t="s">
        <v>132</v>
      </c>
      <c r="N45" s="66" t="s">
        <v>132</v>
      </c>
      <c r="O45" s="66" t="s">
        <v>132</v>
      </c>
      <c r="P45" s="55" t="s">
        <v>132</v>
      </c>
      <c r="Q45" s="59">
        <v>1.02858823864275E-5</v>
      </c>
    </row>
    <row r="46" spans="1:17" x14ac:dyDescent="0.2">
      <c r="A46" s="23" t="s">
        <v>78</v>
      </c>
      <c r="B46" s="53" t="s">
        <v>132</v>
      </c>
      <c r="C46" s="67" t="s">
        <v>132</v>
      </c>
      <c r="D46" s="67" t="s">
        <v>132</v>
      </c>
      <c r="E46" s="67">
        <v>4.0800666799495903E-4</v>
      </c>
      <c r="F46" s="67" t="s">
        <v>132</v>
      </c>
      <c r="G46" s="67">
        <v>3.42862746214252E-6</v>
      </c>
      <c r="H46" s="67" t="s">
        <v>132</v>
      </c>
      <c r="I46" s="67" t="s">
        <v>132</v>
      </c>
      <c r="J46" s="67" t="s">
        <v>132</v>
      </c>
      <c r="K46" s="67" t="s">
        <v>132</v>
      </c>
      <c r="L46" s="67">
        <v>3.42862746214252E-6</v>
      </c>
      <c r="M46" s="67">
        <v>2.4000392234997598E-5</v>
      </c>
      <c r="N46" s="67" t="s">
        <v>132</v>
      </c>
      <c r="O46" s="67" t="s">
        <v>132</v>
      </c>
      <c r="P46" s="56">
        <v>3.42862746214252E-6</v>
      </c>
      <c r="Q46" s="58">
        <v>4.4229294261638414E-4</v>
      </c>
    </row>
    <row r="47" spans="1:17" x14ac:dyDescent="0.2">
      <c r="A47" s="22" t="s">
        <v>33</v>
      </c>
      <c r="B47" s="54">
        <v>6.44581962882793E-4</v>
      </c>
      <c r="C47" s="66">
        <v>1.3337360827734401E-3</v>
      </c>
      <c r="D47" s="66" t="s">
        <v>132</v>
      </c>
      <c r="E47" s="66">
        <v>1.4297376517134299E-3</v>
      </c>
      <c r="F47" s="66" t="s">
        <v>132</v>
      </c>
      <c r="G47" s="66">
        <v>6.1715294318565302E-5</v>
      </c>
      <c r="H47" s="66">
        <v>7.2001176704992802E-4</v>
      </c>
      <c r="I47" s="66">
        <v>1.50859608334271E-3</v>
      </c>
      <c r="J47" s="66" t="s">
        <v>132</v>
      </c>
      <c r="K47" s="66">
        <v>1.5085960833427099E-4</v>
      </c>
      <c r="L47" s="66">
        <v>2.8663325583511401E-3</v>
      </c>
      <c r="M47" s="66">
        <v>3.05147844130684E-4</v>
      </c>
      <c r="N47" s="66" t="s">
        <v>132</v>
      </c>
      <c r="O47" s="66" t="s">
        <v>132</v>
      </c>
      <c r="P47" s="55" t="s">
        <v>132</v>
      </c>
      <c r="Q47" s="59">
        <v>9.0207188528969601E-3</v>
      </c>
    </row>
    <row r="48" spans="1:17" x14ac:dyDescent="0.2">
      <c r="A48" s="23" t="s">
        <v>34</v>
      </c>
      <c r="B48" s="53">
        <v>1.5085960833427099E-4</v>
      </c>
      <c r="C48" s="67">
        <v>5.6915215871565798E-4</v>
      </c>
      <c r="D48" s="67">
        <v>5.1429411932137698E-5</v>
      </c>
      <c r="E48" s="67">
        <v>2.4000392234997598E-5</v>
      </c>
      <c r="F48" s="67" t="s">
        <v>132</v>
      </c>
      <c r="G48" s="67" t="s">
        <v>132</v>
      </c>
      <c r="H48" s="67">
        <v>5.5886627632922999E-4</v>
      </c>
      <c r="I48" s="67">
        <v>6.8572549242850304E-5</v>
      </c>
      <c r="J48" s="67" t="s">
        <v>132</v>
      </c>
      <c r="K48" s="67" t="s">
        <v>132</v>
      </c>
      <c r="L48" s="67">
        <v>2.16003530114978E-4</v>
      </c>
      <c r="M48" s="67">
        <v>3.8057764829781902E-4</v>
      </c>
      <c r="N48" s="67" t="s">
        <v>132</v>
      </c>
      <c r="O48" s="67" t="s">
        <v>132</v>
      </c>
      <c r="P48" s="56">
        <v>5.48580393942803E-5</v>
      </c>
      <c r="Q48" s="58">
        <v>2.0743196145962218E-3</v>
      </c>
    </row>
    <row r="49" spans="1:17" x14ac:dyDescent="0.2">
      <c r="A49" s="22" t="s">
        <v>35</v>
      </c>
      <c r="B49" s="54">
        <v>1.20001961174988E-4</v>
      </c>
      <c r="C49" s="66">
        <v>1.0388741210291799E-3</v>
      </c>
      <c r="D49" s="66" t="s">
        <v>132</v>
      </c>
      <c r="E49" s="66">
        <v>8.2287059091420403E-5</v>
      </c>
      <c r="F49" s="66" t="s">
        <v>132</v>
      </c>
      <c r="G49" s="66" t="s">
        <v>132</v>
      </c>
      <c r="H49" s="66" t="s">
        <v>132</v>
      </c>
      <c r="I49" s="66" t="s">
        <v>132</v>
      </c>
      <c r="J49" s="66" t="s">
        <v>132</v>
      </c>
      <c r="K49" s="66" t="s">
        <v>132</v>
      </c>
      <c r="L49" s="66">
        <v>2.22860785039264E-4</v>
      </c>
      <c r="M49" s="66">
        <v>3.8743490322210402E-4</v>
      </c>
      <c r="N49" s="66" t="s">
        <v>132</v>
      </c>
      <c r="O49" s="66" t="s">
        <v>132</v>
      </c>
      <c r="P49" s="55" t="s">
        <v>132</v>
      </c>
      <c r="Q49" s="59">
        <v>1.8514588295569562E-3</v>
      </c>
    </row>
    <row r="50" spans="1:17" x14ac:dyDescent="0.2">
      <c r="A50" s="23" t="s">
        <v>36</v>
      </c>
      <c r="B50" s="53" t="s">
        <v>132</v>
      </c>
      <c r="C50" s="67">
        <v>8.9144314015705405E-5</v>
      </c>
      <c r="D50" s="67" t="s">
        <v>132</v>
      </c>
      <c r="E50" s="67" t="s">
        <v>132</v>
      </c>
      <c r="F50" s="67" t="s">
        <v>132</v>
      </c>
      <c r="G50" s="67" t="s">
        <v>132</v>
      </c>
      <c r="H50" s="67" t="s">
        <v>132</v>
      </c>
      <c r="I50" s="67" t="s">
        <v>132</v>
      </c>
      <c r="J50" s="67" t="s">
        <v>132</v>
      </c>
      <c r="K50" s="67" t="s">
        <v>132</v>
      </c>
      <c r="L50" s="67" t="s">
        <v>132</v>
      </c>
      <c r="M50" s="67" t="s">
        <v>132</v>
      </c>
      <c r="N50" s="67" t="s">
        <v>132</v>
      </c>
      <c r="O50" s="67" t="s">
        <v>132</v>
      </c>
      <c r="P50" s="56" t="s">
        <v>132</v>
      </c>
      <c r="Q50" s="58">
        <v>8.9144314015705405E-5</v>
      </c>
    </row>
    <row r="51" spans="1:17" x14ac:dyDescent="0.2">
      <c r="A51" s="22" t="s">
        <v>6</v>
      </c>
      <c r="B51" s="54">
        <v>7.0286862973921601E-4</v>
      </c>
      <c r="C51" s="66">
        <v>3.70291765911392E-4</v>
      </c>
      <c r="D51" s="66">
        <v>1.37145098485701E-5</v>
      </c>
      <c r="E51" s="66">
        <v>2.67432942047116E-4</v>
      </c>
      <c r="F51" s="66">
        <v>1.37145098485701E-5</v>
      </c>
      <c r="G51" s="66">
        <v>6.6858235511779094E-5</v>
      </c>
      <c r="H51" s="66" t="s">
        <v>132</v>
      </c>
      <c r="I51" s="66" t="s">
        <v>132</v>
      </c>
      <c r="J51" s="66" t="s">
        <v>132</v>
      </c>
      <c r="K51" s="66">
        <v>3.42862746214252E-5</v>
      </c>
      <c r="L51" s="66">
        <v>4.3543568769209898E-4</v>
      </c>
      <c r="M51" s="66">
        <v>2.8457607935782899E-4</v>
      </c>
      <c r="N51" s="66" t="s">
        <v>132</v>
      </c>
      <c r="O51" s="66" t="s">
        <v>132</v>
      </c>
      <c r="P51" s="55" t="s">
        <v>132</v>
      </c>
      <c r="Q51" s="59">
        <v>2.189178634577996E-3</v>
      </c>
    </row>
    <row r="52" spans="1:17" ht="13.5" thickBot="1" x14ac:dyDescent="0.25">
      <c r="A52" s="23" t="s">
        <v>37</v>
      </c>
      <c r="B52" s="53" t="s">
        <v>132</v>
      </c>
      <c r="C52" s="67" t="s">
        <v>132</v>
      </c>
      <c r="D52" s="67" t="s">
        <v>132</v>
      </c>
      <c r="E52" s="67">
        <v>6.9258274735278804E-5</v>
      </c>
      <c r="F52" s="67" t="s">
        <v>132</v>
      </c>
      <c r="G52" s="67">
        <v>7.5429804167135306E-5</v>
      </c>
      <c r="H52" s="67" t="s">
        <v>132</v>
      </c>
      <c r="I52" s="67" t="s">
        <v>132</v>
      </c>
      <c r="J52" s="67">
        <v>3.25719608903539E-4</v>
      </c>
      <c r="K52" s="67">
        <v>2.5371843219854599E-4</v>
      </c>
      <c r="L52" s="67">
        <v>3.9600647187746103E-3</v>
      </c>
      <c r="M52" s="67">
        <v>6.06867060799225E-4</v>
      </c>
      <c r="N52" s="67" t="s">
        <v>132</v>
      </c>
      <c r="O52" s="67" t="s">
        <v>132</v>
      </c>
      <c r="P52" s="56" t="s">
        <v>132</v>
      </c>
      <c r="Q52" s="58">
        <v>5.2910578995783338E-3</v>
      </c>
    </row>
    <row r="53" spans="1:17" ht="14.25" thickTop="1" thickBot="1" x14ac:dyDescent="0.25">
      <c r="A53" s="28" t="s">
        <v>0</v>
      </c>
      <c r="B53" s="61">
        <v>3.1337655005004399E-3</v>
      </c>
      <c r="C53" s="62">
        <v>3.4011984424453757E-3</v>
      </c>
      <c r="D53" s="62">
        <v>1.9680321632698011E-3</v>
      </c>
      <c r="E53" s="62">
        <v>4.6567618190819643E-3</v>
      </c>
      <c r="F53" s="62">
        <v>3.8400627575996163E-4</v>
      </c>
      <c r="G53" s="62">
        <v>8.1429902225884775E-4</v>
      </c>
      <c r="H53" s="62">
        <v>1.2788780433791581E-3</v>
      </c>
      <c r="I53" s="62">
        <v>2.1326062814526476E-3</v>
      </c>
      <c r="J53" s="62">
        <v>2.8437036171010005E-3</v>
      </c>
      <c r="K53" s="62">
        <v>1.604597652282697E-3</v>
      </c>
      <c r="L53" s="62">
        <v>1.0030449640497929E-2</v>
      </c>
      <c r="M53" s="62">
        <v>4.7520776625295308E-3</v>
      </c>
      <c r="N53" s="62">
        <v>3.0857647159282699E-5</v>
      </c>
      <c r="O53" s="62">
        <v>9.2572941477847811E-5</v>
      </c>
      <c r="P53" s="63">
        <v>2.8114745189568644E-4</v>
      </c>
      <c r="Q53" s="29">
        <v>3.7404954161092172E-2</v>
      </c>
    </row>
    <row r="56" spans="1:17" ht="15" x14ac:dyDescent="0.25">
      <c r="A56" s="100" t="s">
        <v>104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</row>
    <row r="57" spans="1:17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ht="13.5" thickBot="1" x14ac:dyDescent="0.25">
      <c r="A58" s="31" t="s">
        <v>133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39" thickBot="1" x14ac:dyDescent="0.25">
      <c r="A59" s="25" t="s">
        <v>88</v>
      </c>
      <c r="B59" s="26" t="s">
        <v>38</v>
      </c>
      <c r="C59" s="32" t="s">
        <v>39</v>
      </c>
      <c r="D59" s="32" t="s">
        <v>40</v>
      </c>
      <c r="E59" s="32" t="s">
        <v>41</v>
      </c>
      <c r="F59" s="32" t="s">
        <v>42</v>
      </c>
      <c r="G59" s="32" t="s">
        <v>43</v>
      </c>
      <c r="H59" s="32" t="s">
        <v>44</v>
      </c>
      <c r="I59" s="32" t="s">
        <v>45</v>
      </c>
      <c r="J59" s="32" t="s">
        <v>64</v>
      </c>
      <c r="K59" s="32" t="s">
        <v>46</v>
      </c>
      <c r="L59" s="32" t="s">
        <v>7</v>
      </c>
      <c r="M59" s="32" t="s">
        <v>76</v>
      </c>
      <c r="N59" s="32" t="s">
        <v>47</v>
      </c>
      <c r="O59" s="32" t="s">
        <v>48</v>
      </c>
      <c r="P59" s="27" t="s">
        <v>49</v>
      </c>
      <c r="Q59" s="24" t="s">
        <v>0</v>
      </c>
    </row>
    <row r="60" spans="1:17" x14ac:dyDescent="0.2">
      <c r="A60" s="23" t="s">
        <v>8</v>
      </c>
      <c r="B60" s="53" t="s">
        <v>132</v>
      </c>
      <c r="C60" s="67" t="s">
        <v>132</v>
      </c>
      <c r="D60" s="67" t="s">
        <v>132</v>
      </c>
      <c r="E60" s="67">
        <v>9.8238043729101804E-3</v>
      </c>
      <c r="F60" s="67">
        <v>9.7361787640338708E-6</v>
      </c>
      <c r="G60" s="67">
        <v>6.4258779842623595E-4</v>
      </c>
      <c r="H60" s="67" t="s">
        <v>132</v>
      </c>
      <c r="I60" s="67">
        <v>6.9126869224640504E-4</v>
      </c>
      <c r="J60" s="67">
        <v>8.8891312115629301E-3</v>
      </c>
      <c r="K60" s="67">
        <v>3.4952881762881599E-3</v>
      </c>
      <c r="L60" s="67">
        <v>1.4506906358410501E-3</v>
      </c>
      <c r="M60" s="67">
        <v>2.3366829033681299E-4</v>
      </c>
      <c r="N60" s="67" t="s">
        <v>132</v>
      </c>
      <c r="O60" s="67" t="s">
        <v>132</v>
      </c>
      <c r="P60" s="56">
        <v>3.6997479303328701E-4</v>
      </c>
      <c r="Q60" s="58">
        <v>2.5606150149409097E-2</v>
      </c>
    </row>
    <row r="61" spans="1:17" x14ac:dyDescent="0.2">
      <c r="A61" s="22" t="s">
        <v>9</v>
      </c>
      <c r="B61" s="54">
        <v>6.6984909896553001E-3</v>
      </c>
      <c r="C61" s="66" t="s">
        <v>132</v>
      </c>
      <c r="D61" s="66">
        <v>6.79585277729564E-3</v>
      </c>
      <c r="E61" s="66">
        <v>1.7593275026609199E-2</v>
      </c>
      <c r="F61" s="66">
        <v>6.610865380779E-3</v>
      </c>
      <c r="G61" s="66">
        <v>2.1516955068514899E-3</v>
      </c>
      <c r="H61" s="66" t="s">
        <v>132</v>
      </c>
      <c r="I61" s="66">
        <v>1.68435892617786E-3</v>
      </c>
      <c r="J61" s="66">
        <v>1.0807158428077601E-3</v>
      </c>
      <c r="K61" s="66">
        <v>1.6944845520924599E-2</v>
      </c>
      <c r="L61" s="66">
        <v>1.21702234550423E-2</v>
      </c>
      <c r="M61" s="66">
        <v>9.7167064065057998E-3</v>
      </c>
      <c r="N61" s="66" t="s">
        <v>132</v>
      </c>
      <c r="O61" s="66" t="s">
        <v>132</v>
      </c>
      <c r="P61" s="55">
        <v>1.0125625914595201E-3</v>
      </c>
      <c r="Q61" s="59">
        <v>8.2459592424108469E-2</v>
      </c>
    </row>
    <row r="62" spans="1:17" x14ac:dyDescent="0.2">
      <c r="A62" s="23" t="s">
        <v>10</v>
      </c>
      <c r="B62" s="53">
        <v>2.53140647864881E-4</v>
      </c>
      <c r="C62" s="67">
        <v>1.5577886022454199E-4</v>
      </c>
      <c r="D62" s="67">
        <v>1.9472357528067701E-5</v>
      </c>
      <c r="E62" s="67">
        <v>3.83605443302935E-3</v>
      </c>
      <c r="F62" s="67">
        <v>2.9208536292101601E-5</v>
      </c>
      <c r="G62" s="67">
        <v>4.8680893820169403E-5</v>
      </c>
      <c r="H62" s="67">
        <v>9.7361787640338708E-6</v>
      </c>
      <c r="I62" s="67">
        <v>7.7889430112270994E-5</v>
      </c>
      <c r="J62" s="67">
        <v>1.2657032393244001E-4</v>
      </c>
      <c r="K62" s="67">
        <v>1.3630650269647401E-4</v>
      </c>
      <c r="L62" s="67">
        <v>1.2364947030323E-3</v>
      </c>
      <c r="M62" s="67">
        <v>2.2101125794356902E-3</v>
      </c>
      <c r="N62" s="67" t="s">
        <v>132</v>
      </c>
      <c r="O62" s="67" t="s">
        <v>132</v>
      </c>
      <c r="P62" s="56">
        <v>9.7361787640338708E-6</v>
      </c>
      <c r="Q62" s="58">
        <v>8.1491816254963545E-3</v>
      </c>
    </row>
    <row r="63" spans="1:17" x14ac:dyDescent="0.2">
      <c r="A63" s="22" t="s">
        <v>11</v>
      </c>
      <c r="B63" s="54" t="s">
        <v>132</v>
      </c>
      <c r="C63" s="66">
        <v>2.43404469100847E-4</v>
      </c>
      <c r="D63" s="66">
        <v>6.63033773830707E-3</v>
      </c>
      <c r="E63" s="66">
        <v>2.0251251829190501E-3</v>
      </c>
      <c r="F63" s="66" t="s">
        <v>132</v>
      </c>
      <c r="G63" s="66" t="s">
        <v>132</v>
      </c>
      <c r="H63" s="66" t="s">
        <v>132</v>
      </c>
      <c r="I63" s="66">
        <v>4.2839186561748998E-4</v>
      </c>
      <c r="J63" s="66">
        <v>2.21887514032332E-2</v>
      </c>
      <c r="K63" s="66">
        <v>1.00282641269549E-3</v>
      </c>
      <c r="L63" s="66">
        <v>4.3033910137029703E-3</v>
      </c>
      <c r="M63" s="66">
        <v>5.7151369344878803E-3</v>
      </c>
      <c r="N63" s="66" t="s">
        <v>132</v>
      </c>
      <c r="O63" s="66">
        <v>5.8417072584203201E-5</v>
      </c>
      <c r="P63" s="55">
        <v>1.9472357528067699E-4</v>
      </c>
      <c r="Q63" s="59">
        <v>4.2790505667928871E-2</v>
      </c>
    </row>
    <row r="64" spans="1:17" x14ac:dyDescent="0.2">
      <c r="A64" s="23" t="s">
        <v>12</v>
      </c>
      <c r="B64" s="53" t="s">
        <v>132</v>
      </c>
      <c r="C64" s="67" t="s">
        <v>132</v>
      </c>
      <c r="D64" s="67" t="s">
        <v>132</v>
      </c>
      <c r="E64" s="67">
        <v>1.07097966404373E-4</v>
      </c>
      <c r="F64" s="67" t="s">
        <v>132</v>
      </c>
      <c r="G64" s="67">
        <v>2.9208536292101601E-5</v>
      </c>
      <c r="H64" s="67" t="s">
        <v>132</v>
      </c>
      <c r="I64" s="67">
        <v>1.9472357528067701E-5</v>
      </c>
      <c r="J64" s="67">
        <v>1.96670811033484E-3</v>
      </c>
      <c r="K64" s="67">
        <v>1.7817207138182E-3</v>
      </c>
      <c r="L64" s="67">
        <v>5.1407023874098902E-3</v>
      </c>
      <c r="M64" s="67">
        <v>2.6638185098396699E-2</v>
      </c>
      <c r="N64" s="67" t="s">
        <v>132</v>
      </c>
      <c r="O64" s="67" t="s">
        <v>132</v>
      </c>
      <c r="P64" s="56">
        <v>3.8944715056135497E-5</v>
      </c>
      <c r="Q64" s="58">
        <v>3.5722039885240309E-2</v>
      </c>
    </row>
    <row r="65" spans="1:17" x14ac:dyDescent="0.2">
      <c r="A65" s="22" t="s">
        <v>13</v>
      </c>
      <c r="B65" s="54" t="s">
        <v>132</v>
      </c>
      <c r="C65" s="66" t="s">
        <v>132</v>
      </c>
      <c r="D65" s="66" t="s">
        <v>132</v>
      </c>
      <c r="E65" s="66" t="s">
        <v>132</v>
      </c>
      <c r="F65" s="66" t="s">
        <v>132</v>
      </c>
      <c r="G65" s="66" t="s">
        <v>132</v>
      </c>
      <c r="H65" s="66" t="s">
        <v>132</v>
      </c>
      <c r="I65" s="66" t="s">
        <v>132</v>
      </c>
      <c r="J65" s="66" t="s">
        <v>132</v>
      </c>
      <c r="K65" s="66">
        <v>1.9472357528067701E-5</v>
      </c>
      <c r="L65" s="66">
        <v>8.7625608876304805E-5</v>
      </c>
      <c r="M65" s="66">
        <v>2.53140647864881E-4</v>
      </c>
      <c r="N65" s="66" t="s">
        <v>132</v>
      </c>
      <c r="O65" s="66" t="s">
        <v>132</v>
      </c>
      <c r="P65" s="55">
        <v>8.7625608876304805E-5</v>
      </c>
      <c r="Q65" s="59">
        <v>4.4786422314555831E-4</v>
      </c>
    </row>
    <row r="66" spans="1:17" x14ac:dyDescent="0.2">
      <c r="A66" s="23" t="s">
        <v>14</v>
      </c>
      <c r="B66" s="53" t="s">
        <v>132</v>
      </c>
      <c r="C66" s="67" t="s">
        <v>132</v>
      </c>
      <c r="D66" s="67" t="s">
        <v>132</v>
      </c>
      <c r="E66" s="67">
        <v>1.9472357528067701E-5</v>
      </c>
      <c r="F66" s="67" t="s">
        <v>132</v>
      </c>
      <c r="G66" s="67" t="s">
        <v>132</v>
      </c>
      <c r="H66" s="67" t="s">
        <v>132</v>
      </c>
      <c r="I66" s="67" t="s">
        <v>132</v>
      </c>
      <c r="J66" s="67" t="s">
        <v>132</v>
      </c>
      <c r="K66" s="67" t="s">
        <v>132</v>
      </c>
      <c r="L66" s="67">
        <v>6.8153251348237101E-5</v>
      </c>
      <c r="M66" s="67">
        <v>6.8153251348237101E-5</v>
      </c>
      <c r="N66" s="67" t="s">
        <v>132</v>
      </c>
      <c r="O66" s="67" t="s">
        <v>132</v>
      </c>
      <c r="P66" s="56" t="s">
        <v>132</v>
      </c>
      <c r="Q66" s="58">
        <v>1.5577886022454191E-4</v>
      </c>
    </row>
    <row r="67" spans="1:17" x14ac:dyDescent="0.2">
      <c r="A67" s="22" t="s">
        <v>15</v>
      </c>
      <c r="B67" s="54" t="s">
        <v>132</v>
      </c>
      <c r="C67" s="66" t="s">
        <v>132</v>
      </c>
      <c r="D67" s="66" t="s">
        <v>132</v>
      </c>
      <c r="E67" s="66">
        <v>1.6551503898857599E-4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>
        <v>1.4604268146050801E-4</v>
      </c>
      <c r="K67" s="66" t="s">
        <v>132</v>
      </c>
      <c r="L67" s="66">
        <v>2.9500621655022602E-3</v>
      </c>
      <c r="M67" s="66">
        <v>7.1950361066210305E-4</v>
      </c>
      <c r="N67" s="66" t="s">
        <v>132</v>
      </c>
      <c r="O67" s="66" t="s">
        <v>132</v>
      </c>
      <c r="P67" s="55">
        <v>1.9472357528067699E-4</v>
      </c>
      <c r="Q67" s="59">
        <v>4.1758470718941242E-3</v>
      </c>
    </row>
    <row r="68" spans="1:17" x14ac:dyDescent="0.2">
      <c r="A68" s="23" t="s">
        <v>16</v>
      </c>
      <c r="B68" s="53" t="s">
        <v>132</v>
      </c>
      <c r="C68" s="67" t="s">
        <v>132</v>
      </c>
      <c r="D68" s="67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>
        <v>5.8417072584203201E-5</v>
      </c>
      <c r="M68" s="67">
        <v>8.76256088763049E-5</v>
      </c>
      <c r="N68" s="67" t="s">
        <v>132</v>
      </c>
      <c r="O68" s="67" t="s">
        <v>132</v>
      </c>
      <c r="P68" s="56" t="s">
        <v>132</v>
      </c>
      <c r="Q68" s="58">
        <v>1.4604268146050809E-4</v>
      </c>
    </row>
    <row r="69" spans="1:17" x14ac:dyDescent="0.2">
      <c r="A69" s="22" t="s">
        <v>17</v>
      </c>
      <c r="B69" s="54" t="s">
        <v>132</v>
      </c>
      <c r="C69" s="66" t="s">
        <v>132</v>
      </c>
      <c r="D69" s="66" t="s">
        <v>132</v>
      </c>
      <c r="E69" s="66">
        <v>2.1419593280874499E-4</v>
      </c>
      <c r="F69" s="66" t="s">
        <v>132</v>
      </c>
      <c r="G69" s="66" t="s">
        <v>132</v>
      </c>
      <c r="H69" s="66" t="s">
        <v>132</v>
      </c>
      <c r="I69" s="66" t="s">
        <v>132</v>
      </c>
      <c r="J69" s="66">
        <v>9.7361787640338708E-6</v>
      </c>
      <c r="K69" s="66">
        <v>9.7361787640338708E-6</v>
      </c>
      <c r="L69" s="66">
        <v>6.6206015595430298E-4</v>
      </c>
      <c r="M69" s="66">
        <v>2.3366829033681299E-4</v>
      </c>
      <c r="N69" s="66" t="s">
        <v>132</v>
      </c>
      <c r="O69" s="66" t="s">
        <v>132</v>
      </c>
      <c r="P69" s="55">
        <v>1.9472357528067701E-5</v>
      </c>
      <c r="Q69" s="59">
        <v>1.1488690941559964E-3</v>
      </c>
    </row>
    <row r="70" spans="1:17" x14ac:dyDescent="0.2">
      <c r="A70" s="23" t="s">
        <v>89</v>
      </c>
      <c r="B70" s="53" t="s">
        <v>132</v>
      </c>
      <c r="C70" s="67" t="s">
        <v>132</v>
      </c>
      <c r="D70" s="67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56" t="s">
        <v>132</v>
      </c>
      <c r="Q70" s="58" t="s">
        <v>132</v>
      </c>
    </row>
    <row r="71" spans="1:17" x14ac:dyDescent="0.2">
      <c r="A71" s="22" t="s">
        <v>79</v>
      </c>
      <c r="B71" s="54" t="s">
        <v>132</v>
      </c>
      <c r="C71" s="66" t="s">
        <v>132</v>
      </c>
      <c r="D71" s="66" t="s">
        <v>132</v>
      </c>
      <c r="E71" s="66">
        <v>1.4020097420208799E-3</v>
      </c>
      <c r="F71" s="66" t="s">
        <v>132</v>
      </c>
      <c r="G71" s="66" t="s">
        <v>132</v>
      </c>
      <c r="H71" s="66" t="s">
        <v>132</v>
      </c>
      <c r="I71" s="66" t="s">
        <v>132</v>
      </c>
      <c r="J71" s="66" t="s">
        <v>132</v>
      </c>
      <c r="K71" s="66">
        <v>2.9208536292101601E-5</v>
      </c>
      <c r="L71" s="66" t="s">
        <v>132</v>
      </c>
      <c r="M71" s="66" t="s">
        <v>132</v>
      </c>
      <c r="N71" s="66" t="s">
        <v>132</v>
      </c>
      <c r="O71" s="66" t="s">
        <v>132</v>
      </c>
      <c r="P71" s="55" t="s">
        <v>132</v>
      </c>
      <c r="Q71" s="59">
        <v>1.4312182783129815E-3</v>
      </c>
    </row>
    <row r="72" spans="1:17" x14ac:dyDescent="0.2">
      <c r="A72" s="23" t="s">
        <v>80</v>
      </c>
      <c r="B72" s="53" t="s">
        <v>132</v>
      </c>
      <c r="C72" s="67" t="s">
        <v>132</v>
      </c>
      <c r="D72" s="67">
        <v>9.7361787640338708E-6</v>
      </c>
      <c r="E72" s="67" t="s">
        <v>132</v>
      </c>
      <c r="F72" s="67" t="s">
        <v>132</v>
      </c>
      <c r="G72" s="67" t="s">
        <v>132</v>
      </c>
      <c r="H72" s="67" t="s">
        <v>132</v>
      </c>
      <c r="I72" s="67" t="s">
        <v>132</v>
      </c>
      <c r="J72" s="67" t="s">
        <v>132</v>
      </c>
      <c r="K72" s="67" t="s">
        <v>132</v>
      </c>
      <c r="L72" s="67">
        <v>3.8944715056135501E-4</v>
      </c>
      <c r="M72" s="67">
        <v>6.9126869224640504E-4</v>
      </c>
      <c r="N72" s="67" t="s">
        <v>132</v>
      </c>
      <c r="O72" s="67" t="s">
        <v>132</v>
      </c>
      <c r="P72" s="56">
        <v>2.43404469100847E-4</v>
      </c>
      <c r="Q72" s="58">
        <v>1.3338564906726408E-3</v>
      </c>
    </row>
    <row r="73" spans="1:17" x14ac:dyDescent="0.2">
      <c r="A73" s="22" t="s">
        <v>18</v>
      </c>
      <c r="B73" s="54" t="s">
        <v>132</v>
      </c>
      <c r="C73" s="66" t="s">
        <v>132</v>
      </c>
      <c r="D73" s="66" t="s">
        <v>132</v>
      </c>
      <c r="E73" s="66" t="s">
        <v>132</v>
      </c>
      <c r="F73" s="66" t="s">
        <v>132</v>
      </c>
      <c r="G73" s="66" t="s">
        <v>132</v>
      </c>
      <c r="H73" s="66" t="s">
        <v>132</v>
      </c>
      <c r="I73" s="66" t="s">
        <v>132</v>
      </c>
      <c r="J73" s="66" t="s">
        <v>132</v>
      </c>
      <c r="K73" s="66" t="s">
        <v>132</v>
      </c>
      <c r="L73" s="66" t="s">
        <v>132</v>
      </c>
      <c r="M73" s="66" t="s">
        <v>132</v>
      </c>
      <c r="N73" s="66" t="s">
        <v>132</v>
      </c>
      <c r="O73" s="66" t="s">
        <v>132</v>
      </c>
      <c r="P73" s="55" t="s">
        <v>132</v>
      </c>
      <c r="Q73" s="59" t="s">
        <v>132</v>
      </c>
    </row>
    <row r="74" spans="1:17" x14ac:dyDescent="0.2">
      <c r="A74" s="23" t="s">
        <v>78</v>
      </c>
      <c r="B74" s="53" t="s">
        <v>132</v>
      </c>
      <c r="C74" s="67" t="s">
        <v>132</v>
      </c>
      <c r="D74" s="67" t="s">
        <v>132</v>
      </c>
      <c r="E74" s="67">
        <v>1.07097966404373E-4</v>
      </c>
      <c r="F74" s="67" t="s">
        <v>132</v>
      </c>
      <c r="G74" s="67" t="s">
        <v>132</v>
      </c>
      <c r="H74" s="67" t="s">
        <v>132</v>
      </c>
      <c r="I74" s="67" t="s">
        <v>132</v>
      </c>
      <c r="J74" s="67">
        <v>9.7361787640338708E-6</v>
      </c>
      <c r="K74" s="67">
        <v>9.7361787640338708E-6</v>
      </c>
      <c r="L74" s="67">
        <v>2.9208536292101601E-5</v>
      </c>
      <c r="M74" s="67" t="s">
        <v>132</v>
      </c>
      <c r="N74" s="67" t="s">
        <v>132</v>
      </c>
      <c r="O74" s="67" t="s">
        <v>132</v>
      </c>
      <c r="P74" s="56" t="s">
        <v>132</v>
      </c>
      <c r="Q74" s="58">
        <v>1.5577886022454234E-4</v>
      </c>
    </row>
    <row r="75" spans="1:17" x14ac:dyDescent="0.2">
      <c r="A75" s="22" t="s">
        <v>33</v>
      </c>
      <c r="B75" s="54">
        <v>9.6290807976295006E-3</v>
      </c>
      <c r="C75" s="66">
        <v>8.1297092679682905E-3</v>
      </c>
      <c r="D75" s="66">
        <v>5.5496218954993097E-4</v>
      </c>
      <c r="E75" s="66">
        <v>2.10204099515491E-2</v>
      </c>
      <c r="F75" s="66" t="s">
        <v>132</v>
      </c>
      <c r="G75" s="66">
        <v>3.95288857819775E-3</v>
      </c>
      <c r="H75" s="66">
        <v>2.0416766868179E-2</v>
      </c>
      <c r="I75" s="66">
        <v>3.9343898385460901E-2</v>
      </c>
      <c r="J75" s="66">
        <v>5.3548983202186297E-4</v>
      </c>
      <c r="K75" s="66">
        <v>1.08168946068416E-2</v>
      </c>
      <c r="L75" s="66">
        <v>6.1337926213413399E-2</v>
      </c>
      <c r="M75" s="66">
        <v>3.7386926453890101E-3</v>
      </c>
      <c r="N75" s="66" t="s">
        <v>132</v>
      </c>
      <c r="O75" s="66" t="s">
        <v>132</v>
      </c>
      <c r="P75" s="55">
        <v>3.4466072824679899E-3</v>
      </c>
      <c r="Q75" s="59">
        <v>0.18292332661866834</v>
      </c>
    </row>
    <row r="76" spans="1:17" x14ac:dyDescent="0.2">
      <c r="A76" s="23" t="s">
        <v>34</v>
      </c>
      <c r="B76" s="53">
        <v>6.8640060286438804E-3</v>
      </c>
      <c r="C76" s="67">
        <v>8.7820332451585496E-3</v>
      </c>
      <c r="D76" s="67">
        <v>9.7361787640338698E-5</v>
      </c>
      <c r="E76" s="67">
        <v>6.8153251348237101E-5</v>
      </c>
      <c r="F76" s="67" t="s">
        <v>132</v>
      </c>
      <c r="G76" s="67" t="s">
        <v>132</v>
      </c>
      <c r="H76" s="67">
        <v>5.2692199470951301E-2</v>
      </c>
      <c r="I76" s="67">
        <v>2.21984875819972E-3</v>
      </c>
      <c r="J76" s="67" t="s">
        <v>132</v>
      </c>
      <c r="K76" s="67" t="s">
        <v>132</v>
      </c>
      <c r="L76" s="67">
        <v>1.54805242348139E-3</v>
      </c>
      <c r="M76" s="67">
        <v>7.7889430112270994E-5</v>
      </c>
      <c r="N76" s="67" t="s">
        <v>132</v>
      </c>
      <c r="O76" s="67" t="s">
        <v>132</v>
      </c>
      <c r="P76" s="56" t="s">
        <v>132</v>
      </c>
      <c r="Q76" s="58">
        <v>7.2349544395535703E-2</v>
      </c>
    </row>
    <row r="77" spans="1:17" x14ac:dyDescent="0.2">
      <c r="A77" s="22" t="s">
        <v>35</v>
      </c>
      <c r="B77" s="54">
        <v>1.8401377864023999E-3</v>
      </c>
      <c r="C77" s="66">
        <v>2.52167029988477E-2</v>
      </c>
      <c r="D77" s="66" t="s">
        <v>132</v>
      </c>
      <c r="E77" s="66">
        <v>2.6482406238172102E-3</v>
      </c>
      <c r="F77" s="66" t="s">
        <v>132</v>
      </c>
      <c r="G77" s="66" t="s">
        <v>132</v>
      </c>
      <c r="H77" s="66">
        <v>2.65797680258125E-3</v>
      </c>
      <c r="I77" s="66">
        <v>2.0445975404471098E-3</v>
      </c>
      <c r="J77" s="66" t="s">
        <v>132</v>
      </c>
      <c r="K77" s="66">
        <v>2.2393211157277899E-4</v>
      </c>
      <c r="L77" s="66">
        <v>1.6259418535936601E-3</v>
      </c>
      <c r="M77" s="66">
        <v>9.7361787640338701E-4</v>
      </c>
      <c r="N77" s="66" t="s">
        <v>132</v>
      </c>
      <c r="O77" s="66" t="s">
        <v>132</v>
      </c>
      <c r="P77" s="55" t="s">
        <v>132</v>
      </c>
      <c r="Q77" s="59">
        <v>3.7231147593665505E-2</v>
      </c>
    </row>
    <row r="78" spans="1:17" x14ac:dyDescent="0.2">
      <c r="A78" s="23" t="s">
        <v>36</v>
      </c>
      <c r="B78" s="53">
        <v>2.3366829033681299E-4</v>
      </c>
      <c r="C78" s="67" t="s">
        <v>132</v>
      </c>
      <c r="D78" s="67" t="s">
        <v>132</v>
      </c>
      <c r="E78" s="67" t="s">
        <v>132</v>
      </c>
      <c r="F78" s="67" t="s">
        <v>132</v>
      </c>
      <c r="G78" s="67" t="s">
        <v>132</v>
      </c>
      <c r="H78" s="67">
        <v>7.3021340730253996E-4</v>
      </c>
      <c r="I78" s="67">
        <v>2.0932784342672802E-3</v>
      </c>
      <c r="J78" s="67" t="s">
        <v>132</v>
      </c>
      <c r="K78" s="67" t="s">
        <v>132</v>
      </c>
      <c r="L78" s="67" t="s">
        <v>132</v>
      </c>
      <c r="M78" s="67">
        <v>1.7525121775260999E-4</v>
      </c>
      <c r="N78" s="67" t="s">
        <v>132</v>
      </c>
      <c r="O78" s="67" t="s">
        <v>132</v>
      </c>
      <c r="P78" s="56" t="s">
        <v>132</v>
      </c>
      <c r="Q78" s="58">
        <v>3.2324113496592431E-3</v>
      </c>
    </row>
    <row r="79" spans="1:17" x14ac:dyDescent="0.2">
      <c r="A79" s="22" t="s">
        <v>6</v>
      </c>
      <c r="B79" s="54">
        <v>1.2559670605603701E-3</v>
      </c>
      <c r="C79" s="66">
        <v>1.06124348527969E-3</v>
      </c>
      <c r="D79" s="66">
        <v>3.8944715056135497E-5</v>
      </c>
      <c r="E79" s="66">
        <v>1.6259418535936601E-3</v>
      </c>
      <c r="F79" s="66" t="s">
        <v>132</v>
      </c>
      <c r="G79" s="66">
        <v>5.5496218954993097E-4</v>
      </c>
      <c r="H79" s="66" t="s">
        <v>132</v>
      </c>
      <c r="I79" s="66" t="s">
        <v>132</v>
      </c>
      <c r="J79" s="66">
        <v>9.7361787640338698E-5</v>
      </c>
      <c r="K79" s="66">
        <v>2.53140647864881E-4</v>
      </c>
      <c r="L79" s="66">
        <v>2.3269467246041001E-3</v>
      </c>
      <c r="M79" s="66">
        <v>3.9236800419056497E-3</v>
      </c>
      <c r="N79" s="66" t="s">
        <v>132</v>
      </c>
      <c r="O79" s="66" t="s">
        <v>132</v>
      </c>
      <c r="P79" s="55">
        <v>5.8417072584203201E-5</v>
      </c>
      <c r="Q79" s="59">
        <v>1.119660557863896E-2</v>
      </c>
    </row>
    <row r="80" spans="1:17" ht="13.5" thickBot="1" x14ac:dyDescent="0.25">
      <c r="A80" s="23" t="s">
        <v>37</v>
      </c>
      <c r="B80" s="53" t="s">
        <v>132</v>
      </c>
      <c r="C80" s="67" t="s">
        <v>132</v>
      </c>
      <c r="D80" s="67" t="s">
        <v>132</v>
      </c>
      <c r="E80" s="67">
        <v>4.3812804438152399E-4</v>
      </c>
      <c r="F80" s="67">
        <v>1.3630650269647401E-4</v>
      </c>
      <c r="G80" s="67">
        <v>1.35332884820071E-3</v>
      </c>
      <c r="H80" s="67" t="s">
        <v>132</v>
      </c>
      <c r="I80" s="67" t="s">
        <v>132</v>
      </c>
      <c r="J80" s="67">
        <v>6.2116820514536101E-3</v>
      </c>
      <c r="K80" s="67">
        <v>1.2364947030323E-3</v>
      </c>
      <c r="L80" s="67">
        <v>4.7502816189721297E-2</v>
      </c>
      <c r="M80" s="67">
        <v>3.4466072824679899E-3</v>
      </c>
      <c r="N80" s="67" t="s">
        <v>132</v>
      </c>
      <c r="O80" s="67" t="s">
        <v>132</v>
      </c>
      <c r="P80" s="56">
        <v>9.7361787640338698E-5</v>
      </c>
      <c r="Q80" s="58">
        <v>6.0422725409594244E-2</v>
      </c>
    </row>
    <row r="81" spans="1:17" ht="14.25" thickTop="1" thickBot="1" x14ac:dyDescent="0.25">
      <c r="A81" s="28" t="s">
        <v>0</v>
      </c>
      <c r="B81" s="61">
        <v>2.6774491601093145E-2</v>
      </c>
      <c r="C81" s="62">
        <v>4.3588872326579618E-2</v>
      </c>
      <c r="D81" s="62">
        <v>1.4146667744141216E-2</v>
      </c>
      <c r="E81" s="62">
        <v>6.109452174431252E-2</v>
      </c>
      <c r="F81" s="62">
        <v>6.7861165985316088E-3</v>
      </c>
      <c r="G81" s="62">
        <v>8.733352351338387E-3</v>
      </c>
      <c r="H81" s="62">
        <v>7.6506892727778122E-2</v>
      </c>
      <c r="I81" s="62">
        <v>4.860300439005711E-2</v>
      </c>
      <c r="J81" s="62">
        <v>4.1261925601975558E-2</v>
      </c>
      <c r="K81" s="62">
        <v>3.5959602647082721E-2</v>
      </c>
      <c r="L81" s="62">
        <v>0.14288815954096112</v>
      </c>
      <c r="M81" s="62">
        <v>5.8902907904528533E-2</v>
      </c>
      <c r="N81" s="62" t="s">
        <v>132</v>
      </c>
      <c r="O81" s="62">
        <v>5.8417072584203201E-5</v>
      </c>
      <c r="P81" s="63">
        <v>5.7735540070720818E-3</v>
      </c>
      <c r="Q81" s="29">
        <v>0.57107848625803592</v>
      </c>
    </row>
    <row r="84" spans="1:17" ht="15" x14ac:dyDescent="0.25">
      <c r="A84" s="100" t="s">
        <v>106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</row>
    <row r="85" spans="1:17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1:17" ht="13.5" thickBot="1" x14ac:dyDescent="0.25">
      <c r="A86" s="31" t="s">
        <v>133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1:17" ht="39" thickBot="1" x14ac:dyDescent="0.25">
      <c r="A87" s="25" t="s">
        <v>88</v>
      </c>
      <c r="B87" s="26" t="s">
        <v>38</v>
      </c>
      <c r="C87" s="32" t="s">
        <v>39</v>
      </c>
      <c r="D87" s="32" t="s">
        <v>40</v>
      </c>
      <c r="E87" s="32" t="s">
        <v>41</v>
      </c>
      <c r="F87" s="32" t="s">
        <v>42</v>
      </c>
      <c r="G87" s="32" t="s">
        <v>43</v>
      </c>
      <c r="H87" s="32" t="s">
        <v>44</v>
      </c>
      <c r="I87" s="32" t="s">
        <v>45</v>
      </c>
      <c r="J87" s="32" t="s">
        <v>64</v>
      </c>
      <c r="K87" s="32" t="s">
        <v>46</v>
      </c>
      <c r="L87" s="32" t="s">
        <v>7</v>
      </c>
      <c r="M87" s="32" t="s">
        <v>76</v>
      </c>
      <c r="N87" s="32" t="s">
        <v>47</v>
      </c>
      <c r="O87" s="32" t="s">
        <v>48</v>
      </c>
      <c r="P87" s="27" t="s">
        <v>49</v>
      </c>
      <c r="Q87" s="24" t="s">
        <v>0</v>
      </c>
    </row>
    <row r="88" spans="1:17" x14ac:dyDescent="0.2">
      <c r="A88" s="23" t="s">
        <v>8</v>
      </c>
      <c r="B88" s="53" t="s">
        <v>132</v>
      </c>
      <c r="C88" s="67" t="s">
        <v>132</v>
      </c>
      <c r="D88" s="67" t="s">
        <v>132</v>
      </c>
      <c r="E88" s="67">
        <v>8.5590664124525603E-4</v>
      </c>
      <c r="F88" s="67" t="s">
        <v>132</v>
      </c>
      <c r="G88" s="67" t="s">
        <v>132</v>
      </c>
      <c r="H88" s="67" t="s">
        <v>132</v>
      </c>
      <c r="I88" s="67" t="s">
        <v>132</v>
      </c>
      <c r="J88" s="67">
        <v>1.03299077391669E-3</v>
      </c>
      <c r="K88" s="67">
        <v>5.1649538695834401E-4</v>
      </c>
      <c r="L88" s="67">
        <v>1.03299077391669E-4</v>
      </c>
      <c r="M88" s="67">
        <v>4.4271033167858098E-5</v>
      </c>
      <c r="N88" s="67" t="s">
        <v>132</v>
      </c>
      <c r="O88" s="67" t="s">
        <v>132</v>
      </c>
      <c r="P88" s="56" t="s">
        <v>132</v>
      </c>
      <c r="Q88" s="58">
        <v>2.5529629126798169E-3</v>
      </c>
    </row>
    <row r="89" spans="1:17" x14ac:dyDescent="0.2">
      <c r="A89" s="22" t="s">
        <v>9</v>
      </c>
      <c r="B89" s="54">
        <v>1.47570110559527E-4</v>
      </c>
      <c r="C89" s="66" t="s">
        <v>132</v>
      </c>
      <c r="D89" s="66">
        <v>1.6232712161548001E-4</v>
      </c>
      <c r="E89" s="66">
        <v>1.6232712161548001E-4</v>
      </c>
      <c r="F89" s="66">
        <v>4.4271033167858098E-5</v>
      </c>
      <c r="G89" s="66">
        <v>2.9514022111905401E-5</v>
      </c>
      <c r="H89" s="66" t="s">
        <v>132</v>
      </c>
      <c r="I89" s="66" t="s">
        <v>132</v>
      </c>
      <c r="J89" s="66" t="s">
        <v>132</v>
      </c>
      <c r="K89" s="66">
        <v>5.1649538695834401E-4</v>
      </c>
      <c r="L89" s="66">
        <v>2.0659815478333801E-4</v>
      </c>
      <c r="M89" s="66">
        <v>7.3785055279763405E-5</v>
      </c>
      <c r="N89" s="66" t="s">
        <v>132</v>
      </c>
      <c r="O89" s="66" t="s">
        <v>132</v>
      </c>
      <c r="P89" s="55" t="s">
        <v>132</v>
      </c>
      <c r="Q89" s="59">
        <v>1.3428880060916961E-3</v>
      </c>
    </row>
    <row r="90" spans="1:17" x14ac:dyDescent="0.2">
      <c r="A90" s="23" t="s">
        <v>10</v>
      </c>
      <c r="B90" s="53" t="s">
        <v>132</v>
      </c>
      <c r="C90" s="67" t="s">
        <v>132</v>
      </c>
      <c r="D90" s="67">
        <v>1.4757011055952701E-5</v>
      </c>
      <c r="E90" s="67">
        <v>1.47570110559527E-4</v>
      </c>
      <c r="F90" s="67" t="s">
        <v>132</v>
      </c>
      <c r="G90" s="67" t="s">
        <v>132</v>
      </c>
      <c r="H90" s="67" t="s">
        <v>132</v>
      </c>
      <c r="I90" s="67" t="s">
        <v>132</v>
      </c>
      <c r="J90" s="67" t="s">
        <v>132</v>
      </c>
      <c r="K90" s="67" t="s">
        <v>132</v>
      </c>
      <c r="L90" s="67">
        <v>1.4757011055952701E-5</v>
      </c>
      <c r="M90" s="67">
        <v>1.4757011055952701E-5</v>
      </c>
      <c r="N90" s="67" t="s">
        <v>132</v>
      </c>
      <c r="O90" s="67" t="s">
        <v>132</v>
      </c>
      <c r="P90" s="56" t="s">
        <v>132</v>
      </c>
      <c r="Q90" s="58">
        <v>1.9184114372738513E-4</v>
      </c>
    </row>
    <row r="91" spans="1:17" x14ac:dyDescent="0.2">
      <c r="A91" s="22" t="s">
        <v>11</v>
      </c>
      <c r="B91" s="54" t="s">
        <v>132</v>
      </c>
      <c r="C91" s="66" t="s">
        <v>132</v>
      </c>
      <c r="D91" s="66">
        <v>2.8038321006310102E-4</v>
      </c>
      <c r="E91" s="66">
        <v>2.9514022111905401E-5</v>
      </c>
      <c r="F91" s="66" t="s">
        <v>132</v>
      </c>
      <c r="G91" s="66" t="s">
        <v>132</v>
      </c>
      <c r="H91" s="66" t="s">
        <v>132</v>
      </c>
      <c r="I91" s="66" t="s">
        <v>132</v>
      </c>
      <c r="J91" s="66">
        <v>2.9514022111905401E-5</v>
      </c>
      <c r="K91" s="66">
        <v>1.4757011055952701E-5</v>
      </c>
      <c r="L91" s="66" t="s">
        <v>132</v>
      </c>
      <c r="M91" s="66">
        <v>1.18056088447621E-4</v>
      </c>
      <c r="N91" s="66" t="s">
        <v>132</v>
      </c>
      <c r="O91" s="66" t="s">
        <v>132</v>
      </c>
      <c r="P91" s="55" t="s">
        <v>132</v>
      </c>
      <c r="Q91" s="59">
        <v>4.7222435379048555E-4</v>
      </c>
    </row>
    <row r="92" spans="1:17" x14ac:dyDescent="0.2">
      <c r="A92" s="23" t="s">
        <v>12</v>
      </c>
      <c r="B92" s="53" t="s">
        <v>132</v>
      </c>
      <c r="C92" s="67" t="s">
        <v>132</v>
      </c>
      <c r="D92" s="67" t="s">
        <v>132</v>
      </c>
      <c r="E92" s="67" t="s">
        <v>132</v>
      </c>
      <c r="F92" s="67" t="s">
        <v>132</v>
      </c>
      <c r="G92" s="67" t="s">
        <v>132</v>
      </c>
      <c r="H92" s="67" t="s">
        <v>132</v>
      </c>
      <c r="I92" s="67" t="s">
        <v>132</v>
      </c>
      <c r="J92" s="67">
        <v>7.3785055279763405E-5</v>
      </c>
      <c r="K92" s="67" t="s">
        <v>132</v>
      </c>
      <c r="L92" s="67">
        <v>1.4757011055952701E-5</v>
      </c>
      <c r="M92" s="67">
        <v>1.3281309950357399E-4</v>
      </c>
      <c r="N92" s="67" t="s">
        <v>132</v>
      </c>
      <c r="O92" s="67">
        <v>1.03299077391669E-4</v>
      </c>
      <c r="P92" s="56" t="s">
        <v>132</v>
      </c>
      <c r="Q92" s="58">
        <v>3.246542432309591E-4</v>
      </c>
    </row>
    <row r="93" spans="1:17" x14ac:dyDescent="0.2">
      <c r="A93" s="22" t="s">
        <v>13</v>
      </c>
      <c r="B93" s="54" t="s">
        <v>132</v>
      </c>
      <c r="C93" s="66" t="s">
        <v>132</v>
      </c>
      <c r="D93" s="66" t="s">
        <v>132</v>
      </c>
      <c r="E93" s="66" t="s">
        <v>132</v>
      </c>
      <c r="F93" s="66" t="s">
        <v>132</v>
      </c>
      <c r="G93" s="66" t="s">
        <v>132</v>
      </c>
      <c r="H93" s="66" t="s">
        <v>132</v>
      </c>
      <c r="I93" s="66" t="s">
        <v>132</v>
      </c>
      <c r="J93" s="66" t="s">
        <v>132</v>
      </c>
      <c r="K93" s="66" t="s">
        <v>132</v>
      </c>
      <c r="L93" s="66" t="s">
        <v>132</v>
      </c>
      <c r="M93" s="66" t="s">
        <v>132</v>
      </c>
      <c r="N93" s="66" t="s">
        <v>132</v>
      </c>
      <c r="O93" s="66" t="s">
        <v>132</v>
      </c>
      <c r="P93" s="55" t="s">
        <v>132</v>
      </c>
      <c r="Q93" s="59" t="s">
        <v>132</v>
      </c>
    </row>
    <row r="94" spans="1:17" x14ac:dyDescent="0.2">
      <c r="A94" s="23" t="s">
        <v>14</v>
      </c>
      <c r="B94" s="53" t="s">
        <v>132</v>
      </c>
      <c r="C94" s="67" t="s">
        <v>132</v>
      </c>
      <c r="D94" s="67" t="s">
        <v>132</v>
      </c>
      <c r="E94" s="67" t="s">
        <v>132</v>
      </c>
      <c r="F94" s="67" t="s">
        <v>132</v>
      </c>
      <c r="G94" s="67" t="s">
        <v>132</v>
      </c>
      <c r="H94" s="67" t="s">
        <v>132</v>
      </c>
      <c r="I94" s="67" t="s">
        <v>132</v>
      </c>
      <c r="J94" s="67" t="s">
        <v>132</v>
      </c>
      <c r="K94" s="67" t="s">
        <v>132</v>
      </c>
      <c r="L94" s="67" t="s">
        <v>132</v>
      </c>
      <c r="M94" s="67" t="s">
        <v>132</v>
      </c>
      <c r="N94" s="67" t="s">
        <v>132</v>
      </c>
      <c r="O94" s="67" t="s">
        <v>132</v>
      </c>
      <c r="P94" s="56" t="s">
        <v>132</v>
      </c>
      <c r="Q94" s="58" t="s">
        <v>132</v>
      </c>
    </row>
    <row r="95" spans="1:17" x14ac:dyDescent="0.2">
      <c r="A95" s="22" t="s">
        <v>15</v>
      </c>
      <c r="B95" s="54" t="s">
        <v>132</v>
      </c>
      <c r="C95" s="66" t="s">
        <v>132</v>
      </c>
      <c r="D95" s="66" t="s">
        <v>132</v>
      </c>
      <c r="E95" s="66" t="s">
        <v>132</v>
      </c>
      <c r="F95" s="66" t="s">
        <v>132</v>
      </c>
      <c r="G95" s="66" t="s">
        <v>132</v>
      </c>
      <c r="H95" s="66" t="s">
        <v>132</v>
      </c>
      <c r="I95" s="66" t="s">
        <v>132</v>
      </c>
      <c r="J95" s="66" t="s">
        <v>132</v>
      </c>
      <c r="K95" s="66" t="s">
        <v>132</v>
      </c>
      <c r="L95" s="66">
        <v>2.9514022111905401E-5</v>
      </c>
      <c r="M95" s="66" t="s">
        <v>132</v>
      </c>
      <c r="N95" s="66" t="s">
        <v>132</v>
      </c>
      <c r="O95" s="66" t="s">
        <v>132</v>
      </c>
      <c r="P95" s="55" t="s">
        <v>132</v>
      </c>
      <c r="Q95" s="59">
        <v>2.9514022111905401E-5</v>
      </c>
    </row>
    <row r="96" spans="1:17" x14ac:dyDescent="0.2">
      <c r="A96" s="23" t="s">
        <v>16</v>
      </c>
      <c r="B96" s="53" t="s">
        <v>132</v>
      </c>
      <c r="C96" s="67" t="s">
        <v>132</v>
      </c>
      <c r="D96" s="67" t="s">
        <v>132</v>
      </c>
      <c r="E96" s="67" t="s">
        <v>132</v>
      </c>
      <c r="F96" s="67" t="s">
        <v>132</v>
      </c>
      <c r="G96" s="67" t="s">
        <v>132</v>
      </c>
      <c r="H96" s="67" t="s">
        <v>132</v>
      </c>
      <c r="I96" s="67" t="s">
        <v>132</v>
      </c>
      <c r="J96" s="67" t="s">
        <v>132</v>
      </c>
      <c r="K96" s="67" t="s">
        <v>132</v>
      </c>
      <c r="L96" s="67" t="s">
        <v>132</v>
      </c>
      <c r="M96" s="67" t="s">
        <v>132</v>
      </c>
      <c r="N96" s="67" t="s">
        <v>132</v>
      </c>
      <c r="O96" s="67" t="s">
        <v>132</v>
      </c>
      <c r="P96" s="56" t="s">
        <v>132</v>
      </c>
      <c r="Q96" s="58" t="s">
        <v>132</v>
      </c>
    </row>
    <row r="97" spans="1:17" x14ac:dyDescent="0.2">
      <c r="A97" s="22" t="s">
        <v>17</v>
      </c>
      <c r="B97" s="54" t="s">
        <v>132</v>
      </c>
      <c r="C97" s="66" t="s">
        <v>132</v>
      </c>
      <c r="D97" s="66" t="s">
        <v>132</v>
      </c>
      <c r="E97" s="66" t="s">
        <v>132</v>
      </c>
      <c r="F97" s="66" t="s">
        <v>132</v>
      </c>
      <c r="G97" s="66" t="s">
        <v>132</v>
      </c>
      <c r="H97" s="66" t="s">
        <v>132</v>
      </c>
      <c r="I97" s="66" t="s">
        <v>132</v>
      </c>
      <c r="J97" s="66" t="s">
        <v>132</v>
      </c>
      <c r="K97" s="66" t="s">
        <v>132</v>
      </c>
      <c r="L97" s="66" t="s">
        <v>132</v>
      </c>
      <c r="M97" s="66">
        <v>1.4757011055952701E-5</v>
      </c>
      <c r="N97" s="66" t="s">
        <v>132</v>
      </c>
      <c r="O97" s="66" t="s">
        <v>132</v>
      </c>
      <c r="P97" s="55" t="s">
        <v>132</v>
      </c>
      <c r="Q97" s="59">
        <v>1.4757011055952701E-5</v>
      </c>
    </row>
    <row r="98" spans="1:17" x14ac:dyDescent="0.2">
      <c r="A98" s="23" t="s">
        <v>89</v>
      </c>
      <c r="B98" s="53" t="s">
        <v>132</v>
      </c>
      <c r="C98" s="67" t="s">
        <v>132</v>
      </c>
      <c r="D98" s="67" t="s">
        <v>132</v>
      </c>
      <c r="E98" s="67" t="s">
        <v>132</v>
      </c>
      <c r="F98" s="67" t="s">
        <v>132</v>
      </c>
      <c r="G98" s="67" t="s">
        <v>132</v>
      </c>
      <c r="H98" s="67" t="s">
        <v>132</v>
      </c>
      <c r="I98" s="67" t="s">
        <v>132</v>
      </c>
      <c r="J98" s="67" t="s">
        <v>132</v>
      </c>
      <c r="K98" s="67" t="s">
        <v>132</v>
      </c>
      <c r="L98" s="67" t="s">
        <v>132</v>
      </c>
      <c r="M98" s="67" t="s">
        <v>132</v>
      </c>
      <c r="N98" s="67" t="s">
        <v>132</v>
      </c>
      <c r="O98" s="67" t="s">
        <v>132</v>
      </c>
      <c r="P98" s="56" t="s">
        <v>132</v>
      </c>
      <c r="Q98" s="58" t="s">
        <v>132</v>
      </c>
    </row>
    <row r="99" spans="1:17" x14ac:dyDescent="0.2">
      <c r="A99" s="22" t="s">
        <v>79</v>
      </c>
      <c r="B99" s="54" t="s">
        <v>132</v>
      </c>
      <c r="C99" s="66" t="s">
        <v>132</v>
      </c>
      <c r="D99" s="66" t="s">
        <v>132</v>
      </c>
      <c r="E99" s="66" t="s">
        <v>132</v>
      </c>
      <c r="F99" s="66" t="s">
        <v>132</v>
      </c>
      <c r="G99" s="66" t="s">
        <v>132</v>
      </c>
      <c r="H99" s="66" t="s">
        <v>132</v>
      </c>
      <c r="I99" s="66" t="s">
        <v>132</v>
      </c>
      <c r="J99" s="66" t="s">
        <v>132</v>
      </c>
      <c r="K99" s="66" t="s">
        <v>132</v>
      </c>
      <c r="L99" s="66" t="s">
        <v>132</v>
      </c>
      <c r="M99" s="66" t="s">
        <v>132</v>
      </c>
      <c r="N99" s="66" t="s">
        <v>132</v>
      </c>
      <c r="O99" s="66" t="s">
        <v>132</v>
      </c>
      <c r="P99" s="55" t="s">
        <v>132</v>
      </c>
      <c r="Q99" s="59" t="s">
        <v>132</v>
      </c>
    </row>
    <row r="100" spans="1:17" x14ac:dyDescent="0.2">
      <c r="A100" s="23" t="s">
        <v>80</v>
      </c>
      <c r="B100" s="53" t="s">
        <v>132</v>
      </c>
      <c r="C100" s="67" t="s">
        <v>132</v>
      </c>
      <c r="D100" s="67" t="s">
        <v>132</v>
      </c>
      <c r="E100" s="67" t="s">
        <v>132</v>
      </c>
      <c r="F100" s="67" t="s">
        <v>132</v>
      </c>
      <c r="G100" s="67" t="s">
        <v>132</v>
      </c>
      <c r="H100" s="67" t="s">
        <v>132</v>
      </c>
      <c r="I100" s="67" t="s">
        <v>132</v>
      </c>
      <c r="J100" s="67" t="s">
        <v>132</v>
      </c>
      <c r="K100" s="67" t="s">
        <v>132</v>
      </c>
      <c r="L100" s="67" t="s">
        <v>132</v>
      </c>
      <c r="M100" s="67">
        <v>2.9514022111905401E-5</v>
      </c>
      <c r="N100" s="67" t="s">
        <v>132</v>
      </c>
      <c r="O100" s="67" t="s">
        <v>132</v>
      </c>
      <c r="P100" s="56" t="s">
        <v>132</v>
      </c>
      <c r="Q100" s="58">
        <v>2.9514022111905401E-5</v>
      </c>
    </row>
    <row r="101" spans="1:17" x14ac:dyDescent="0.2">
      <c r="A101" s="22" t="s">
        <v>18</v>
      </c>
      <c r="B101" s="54" t="s">
        <v>132</v>
      </c>
      <c r="C101" s="66" t="s">
        <v>132</v>
      </c>
      <c r="D101" s="66" t="s">
        <v>132</v>
      </c>
      <c r="E101" s="66" t="s">
        <v>132</v>
      </c>
      <c r="F101" s="66" t="s">
        <v>132</v>
      </c>
      <c r="G101" s="66" t="s">
        <v>132</v>
      </c>
      <c r="H101" s="66" t="s">
        <v>132</v>
      </c>
      <c r="I101" s="66" t="s">
        <v>132</v>
      </c>
      <c r="J101" s="66" t="s">
        <v>132</v>
      </c>
      <c r="K101" s="66" t="s">
        <v>132</v>
      </c>
      <c r="L101" s="66" t="s">
        <v>132</v>
      </c>
      <c r="M101" s="66" t="s">
        <v>132</v>
      </c>
      <c r="N101" s="66" t="s">
        <v>132</v>
      </c>
      <c r="O101" s="66" t="s">
        <v>132</v>
      </c>
      <c r="P101" s="55" t="s">
        <v>132</v>
      </c>
      <c r="Q101" s="59" t="s">
        <v>132</v>
      </c>
    </row>
    <row r="102" spans="1:17" x14ac:dyDescent="0.2">
      <c r="A102" s="23" t="s">
        <v>78</v>
      </c>
      <c r="B102" s="53" t="s">
        <v>132</v>
      </c>
      <c r="C102" s="67" t="s">
        <v>132</v>
      </c>
      <c r="D102" s="67" t="s">
        <v>132</v>
      </c>
      <c r="E102" s="67" t="s">
        <v>132</v>
      </c>
      <c r="F102" s="67" t="s">
        <v>132</v>
      </c>
      <c r="G102" s="67" t="s">
        <v>132</v>
      </c>
      <c r="H102" s="67" t="s">
        <v>132</v>
      </c>
      <c r="I102" s="67" t="s">
        <v>132</v>
      </c>
      <c r="J102" s="67" t="s">
        <v>132</v>
      </c>
      <c r="K102" s="67">
        <v>1.4757011055952701E-5</v>
      </c>
      <c r="L102" s="67" t="s">
        <v>132</v>
      </c>
      <c r="M102" s="67" t="s">
        <v>132</v>
      </c>
      <c r="N102" s="67" t="s">
        <v>132</v>
      </c>
      <c r="O102" s="67" t="s">
        <v>132</v>
      </c>
      <c r="P102" s="56" t="s">
        <v>132</v>
      </c>
      <c r="Q102" s="58">
        <v>1.4757011055952701E-5</v>
      </c>
    </row>
    <row r="103" spans="1:17" x14ac:dyDescent="0.2">
      <c r="A103" s="22" t="s">
        <v>33</v>
      </c>
      <c r="B103" s="54" t="s">
        <v>132</v>
      </c>
      <c r="C103" s="66" t="s">
        <v>132</v>
      </c>
      <c r="D103" s="66" t="s">
        <v>132</v>
      </c>
      <c r="E103" s="66">
        <v>4.7222435379048599E-4</v>
      </c>
      <c r="F103" s="66" t="s">
        <v>132</v>
      </c>
      <c r="G103" s="66" t="s">
        <v>132</v>
      </c>
      <c r="H103" s="66" t="s">
        <v>132</v>
      </c>
      <c r="I103" s="66">
        <v>2.6562619900714798E-4</v>
      </c>
      <c r="J103" s="66" t="s">
        <v>132</v>
      </c>
      <c r="K103" s="66" t="s">
        <v>132</v>
      </c>
      <c r="L103" s="66">
        <v>1.7708413267143199E-4</v>
      </c>
      <c r="M103" s="66" t="s">
        <v>132</v>
      </c>
      <c r="N103" s="66" t="s">
        <v>132</v>
      </c>
      <c r="O103" s="66" t="s">
        <v>132</v>
      </c>
      <c r="P103" s="55" t="s">
        <v>132</v>
      </c>
      <c r="Q103" s="59">
        <v>9.1493468546906601E-4</v>
      </c>
    </row>
    <row r="104" spans="1:17" x14ac:dyDescent="0.2">
      <c r="A104" s="23" t="s">
        <v>34</v>
      </c>
      <c r="B104" s="53" t="s">
        <v>132</v>
      </c>
      <c r="C104" s="67" t="s">
        <v>132</v>
      </c>
      <c r="D104" s="67" t="s">
        <v>132</v>
      </c>
      <c r="E104" s="67" t="s">
        <v>132</v>
      </c>
      <c r="F104" s="67" t="s">
        <v>132</v>
      </c>
      <c r="G104" s="67" t="s">
        <v>132</v>
      </c>
      <c r="H104" s="67">
        <v>3.09897232175006E-4</v>
      </c>
      <c r="I104" s="67" t="s">
        <v>132</v>
      </c>
      <c r="J104" s="67" t="s">
        <v>132</v>
      </c>
      <c r="K104" s="67" t="s">
        <v>132</v>
      </c>
      <c r="L104" s="67" t="s">
        <v>132</v>
      </c>
      <c r="M104" s="67" t="s">
        <v>132</v>
      </c>
      <c r="N104" s="67" t="s">
        <v>132</v>
      </c>
      <c r="O104" s="67" t="s">
        <v>132</v>
      </c>
      <c r="P104" s="56" t="s">
        <v>132</v>
      </c>
      <c r="Q104" s="58">
        <v>3.09897232175006E-4</v>
      </c>
    </row>
    <row r="105" spans="1:17" x14ac:dyDescent="0.2">
      <c r="A105" s="22" t="s">
        <v>35</v>
      </c>
      <c r="B105" s="54" t="s">
        <v>132</v>
      </c>
      <c r="C105" s="66" t="s">
        <v>132</v>
      </c>
      <c r="D105" s="66" t="s">
        <v>132</v>
      </c>
      <c r="E105" s="66" t="s">
        <v>132</v>
      </c>
      <c r="F105" s="66" t="s">
        <v>132</v>
      </c>
      <c r="G105" s="66" t="s">
        <v>132</v>
      </c>
      <c r="H105" s="66" t="s">
        <v>132</v>
      </c>
      <c r="I105" s="66" t="s">
        <v>132</v>
      </c>
      <c r="J105" s="66" t="s">
        <v>132</v>
      </c>
      <c r="K105" s="66" t="s">
        <v>132</v>
      </c>
      <c r="L105" s="66" t="s">
        <v>132</v>
      </c>
      <c r="M105" s="66" t="s">
        <v>132</v>
      </c>
      <c r="N105" s="66" t="s">
        <v>132</v>
      </c>
      <c r="O105" s="66" t="s">
        <v>132</v>
      </c>
      <c r="P105" s="55" t="s">
        <v>132</v>
      </c>
      <c r="Q105" s="59" t="s">
        <v>132</v>
      </c>
    </row>
    <row r="106" spans="1:17" x14ac:dyDescent="0.2">
      <c r="A106" s="23" t="s">
        <v>36</v>
      </c>
      <c r="B106" s="53" t="s">
        <v>132</v>
      </c>
      <c r="C106" s="67" t="s">
        <v>132</v>
      </c>
      <c r="D106" s="67" t="s">
        <v>132</v>
      </c>
      <c r="E106" s="67" t="s">
        <v>132</v>
      </c>
      <c r="F106" s="67" t="s">
        <v>132</v>
      </c>
      <c r="G106" s="67" t="s">
        <v>132</v>
      </c>
      <c r="H106" s="67" t="s">
        <v>132</v>
      </c>
      <c r="I106" s="67" t="s">
        <v>132</v>
      </c>
      <c r="J106" s="67" t="s">
        <v>132</v>
      </c>
      <c r="K106" s="67" t="s">
        <v>132</v>
      </c>
      <c r="L106" s="67" t="s">
        <v>132</v>
      </c>
      <c r="M106" s="67" t="s">
        <v>132</v>
      </c>
      <c r="N106" s="67" t="s">
        <v>132</v>
      </c>
      <c r="O106" s="67" t="s">
        <v>132</v>
      </c>
      <c r="P106" s="56" t="s">
        <v>132</v>
      </c>
      <c r="Q106" s="58" t="s">
        <v>132</v>
      </c>
    </row>
    <row r="107" spans="1:17" x14ac:dyDescent="0.2">
      <c r="A107" s="22" t="s">
        <v>6</v>
      </c>
      <c r="B107" s="54">
        <v>1.47570110559527E-4</v>
      </c>
      <c r="C107" s="66">
        <v>1.4757011055952701E-5</v>
      </c>
      <c r="D107" s="66" t="s">
        <v>132</v>
      </c>
      <c r="E107" s="66">
        <v>1.18056088447621E-4</v>
      </c>
      <c r="F107" s="66" t="s">
        <v>132</v>
      </c>
      <c r="G107" s="66" t="s">
        <v>132</v>
      </c>
      <c r="H107" s="66" t="s">
        <v>132</v>
      </c>
      <c r="I107" s="66" t="s">
        <v>132</v>
      </c>
      <c r="J107" s="66" t="s">
        <v>132</v>
      </c>
      <c r="K107" s="66" t="s">
        <v>132</v>
      </c>
      <c r="L107" s="66">
        <v>1.4757011055952701E-5</v>
      </c>
      <c r="M107" s="66">
        <v>2.9514022111905401E-5</v>
      </c>
      <c r="N107" s="66" t="s">
        <v>132</v>
      </c>
      <c r="O107" s="66" t="s">
        <v>132</v>
      </c>
      <c r="P107" s="55" t="s">
        <v>132</v>
      </c>
      <c r="Q107" s="59">
        <v>3.2465424323095882E-4</v>
      </c>
    </row>
    <row r="108" spans="1:17" ht="13.5" thickBot="1" x14ac:dyDescent="0.25">
      <c r="A108" s="23" t="s">
        <v>37</v>
      </c>
      <c r="B108" s="53" t="s">
        <v>132</v>
      </c>
      <c r="C108" s="67" t="s">
        <v>132</v>
      </c>
      <c r="D108" s="67" t="s">
        <v>132</v>
      </c>
      <c r="E108" s="67" t="s">
        <v>132</v>
      </c>
      <c r="F108" s="67" t="s">
        <v>132</v>
      </c>
      <c r="G108" s="67" t="s">
        <v>132</v>
      </c>
      <c r="H108" s="67" t="s">
        <v>132</v>
      </c>
      <c r="I108" s="67" t="s">
        <v>132</v>
      </c>
      <c r="J108" s="67">
        <v>8.8542066335716102E-5</v>
      </c>
      <c r="K108" s="67">
        <v>4.4271033167858098E-5</v>
      </c>
      <c r="L108" s="67">
        <v>7.5260756385358695E-4</v>
      </c>
      <c r="M108" s="67">
        <v>1.4757011055952701E-5</v>
      </c>
      <c r="N108" s="67" t="s">
        <v>132</v>
      </c>
      <c r="O108" s="67" t="s">
        <v>132</v>
      </c>
      <c r="P108" s="56">
        <v>1.4757011055952701E-5</v>
      </c>
      <c r="Q108" s="58">
        <v>9.1493468546906655E-4</v>
      </c>
    </row>
    <row r="109" spans="1:17" ht="14.25" thickTop="1" thickBot="1" x14ac:dyDescent="0.25">
      <c r="A109" s="28" t="s">
        <v>0</v>
      </c>
      <c r="B109" s="61">
        <v>2.95140221119054E-4</v>
      </c>
      <c r="C109" s="62">
        <v>1.4757011055952701E-5</v>
      </c>
      <c r="D109" s="62">
        <v>4.5746734273453371E-4</v>
      </c>
      <c r="E109" s="62">
        <v>1.7855983377702757E-3</v>
      </c>
      <c r="F109" s="62">
        <v>4.4271033167858098E-5</v>
      </c>
      <c r="G109" s="62">
        <v>2.9514022111905401E-5</v>
      </c>
      <c r="H109" s="62">
        <v>3.09897232175006E-4</v>
      </c>
      <c r="I109" s="62">
        <v>2.6562619900714798E-4</v>
      </c>
      <c r="J109" s="62">
        <v>1.2248319176440749E-3</v>
      </c>
      <c r="K109" s="62">
        <v>1.1067758291964512E-3</v>
      </c>
      <c r="L109" s="62">
        <v>1.3133739839797896E-3</v>
      </c>
      <c r="M109" s="62">
        <v>4.7222435379048544E-4</v>
      </c>
      <c r="N109" s="62" t="s">
        <v>132</v>
      </c>
      <c r="O109" s="62">
        <v>1.03299077391669E-4</v>
      </c>
      <c r="P109" s="63">
        <v>1.4757011055952701E-5</v>
      </c>
      <c r="Q109" s="29">
        <v>7.4375335722001567E-3</v>
      </c>
    </row>
  </sheetData>
  <mergeCells count="4">
    <mergeCell ref="A1:Q1"/>
    <mergeCell ref="A28:Q28"/>
    <mergeCell ref="A56:Q56"/>
    <mergeCell ref="A84:Q84"/>
  </mergeCells>
  <conditionalFormatting sqref="B5:Q25">
    <cfRule type="cellIs" dxfId="15" priority="1" operator="greaterThan">
      <formula>0</formula>
    </cfRule>
  </conditionalFormatting>
  <conditionalFormatting sqref="Q25">
    <cfRule type="cellIs" dxfId="14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82" orientation="landscape" r:id="rId1"/>
  <headerFooter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GridLines="0" zoomScaleNormal="100" workbookViewId="0">
      <selection activeCell="A3" sqref="A3"/>
    </sheetView>
  </sheetViews>
  <sheetFormatPr defaultRowHeight="12.75" x14ac:dyDescent="0.2"/>
  <cols>
    <col min="1" max="1" width="38.28515625" style="21" bestFit="1" customWidth="1"/>
    <col min="2" max="2" width="23.140625" style="21" bestFit="1" customWidth="1"/>
    <col min="3" max="15" width="10.28515625" style="21" customWidth="1"/>
    <col min="16" max="16" width="11.42578125" style="21" customWidth="1"/>
    <col min="17" max="20" width="10.28515625" style="21" customWidth="1"/>
    <col min="21" max="16384" width="9.140625" style="16"/>
  </cols>
  <sheetData>
    <row r="1" spans="1:20" ht="15" customHeight="1" x14ac:dyDescent="0.25">
      <c r="A1" s="100" t="s">
        <v>84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7.5" customHeight="1" x14ac:dyDescent="0.2"/>
    <row r="3" spans="1:20" ht="12.75" customHeight="1" thickBot="1" x14ac:dyDescent="0.25">
      <c r="A3" s="31" t="s">
        <v>133</v>
      </c>
    </row>
    <row r="4" spans="1:20" ht="38.25" customHeight="1" thickBot="1" x14ac:dyDescent="0.25">
      <c r="A4" s="38" t="s">
        <v>65</v>
      </c>
      <c r="B4" s="37" t="s">
        <v>73</v>
      </c>
      <c r="C4" s="45" t="s">
        <v>74</v>
      </c>
      <c r="D4" s="46" t="s">
        <v>75</v>
      </c>
      <c r="E4" s="32" t="s">
        <v>50</v>
      </c>
      <c r="F4" s="32" t="s">
        <v>51</v>
      </c>
      <c r="G4" s="32" t="s">
        <v>52</v>
      </c>
      <c r="H4" s="32" t="s">
        <v>53</v>
      </c>
      <c r="I4" s="32" t="s">
        <v>63</v>
      </c>
      <c r="J4" s="32" t="s">
        <v>54</v>
      </c>
      <c r="K4" s="32" t="s">
        <v>55</v>
      </c>
      <c r="L4" s="32" t="s">
        <v>56</v>
      </c>
      <c r="M4" s="32" t="s">
        <v>57</v>
      </c>
      <c r="N4" s="32" t="s">
        <v>58</v>
      </c>
      <c r="O4" s="32" t="s">
        <v>59</v>
      </c>
      <c r="P4" s="32" t="s">
        <v>60</v>
      </c>
      <c r="Q4" s="32" t="s">
        <v>61</v>
      </c>
      <c r="R4" s="32" t="s">
        <v>81</v>
      </c>
      <c r="S4" s="44" t="s">
        <v>62</v>
      </c>
      <c r="T4" s="33" t="s">
        <v>0</v>
      </c>
    </row>
    <row r="5" spans="1:20" ht="12.75" customHeight="1" x14ac:dyDescent="0.2">
      <c r="A5" s="36" t="s">
        <v>67</v>
      </c>
      <c r="B5" s="39" t="s">
        <v>68</v>
      </c>
      <c r="C5" s="93">
        <v>1.1862416332910174E-2</v>
      </c>
      <c r="D5" s="94">
        <v>1.1232365643223045E-3</v>
      </c>
      <c r="E5" s="66">
        <v>5.0370837773557565E-3</v>
      </c>
      <c r="F5" s="66">
        <v>3.7697968873557607E-3</v>
      </c>
      <c r="G5" s="66">
        <v>5.4201632972885089E-5</v>
      </c>
      <c r="H5" s="66">
        <v>2.7209337001918077E-5</v>
      </c>
      <c r="I5" s="66">
        <v>5.9995208207890168E-4</v>
      </c>
      <c r="J5" s="66" t="s">
        <v>132</v>
      </c>
      <c r="K5" s="66">
        <v>2.6600808480553991E-5</v>
      </c>
      <c r="L5" s="66" t="s">
        <v>132</v>
      </c>
      <c r="M5" s="66">
        <v>1.2552563078077012E-4</v>
      </c>
      <c r="N5" s="66">
        <v>1.0692657330060199E-4</v>
      </c>
      <c r="O5" s="66" t="s">
        <v>132</v>
      </c>
      <c r="P5" s="66" t="s">
        <v>132</v>
      </c>
      <c r="Q5" s="66" t="s">
        <v>132</v>
      </c>
      <c r="R5" s="66">
        <v>8.7364403300470208E-6</v>
      </c>
      <c r="S5" s="84">
        <v>2.6069846058688045E-4</v>
      </c>
      <c r="T5" s="88">
        <v>2.3002384527476553E-2</v>
      </c>
    </row>
    <row r="6" spans="1:20" ht="12.75" customHeight="1" x14ac:dyDescent="0.2">
      <c r="A6" s="35" t="s">
        <v>19</v>
      </c>
      <c r="B6" s="40" t="s">
        <v>68</v>
      </c>
      <c r="C6" s="103">
        <v>1.3867942840777401E-3</v>
      </c>
      <c r="D6" s="104" t="s">
        <v>132</v>
      </c>
      <c r="E6" s="67" t="s">
        <v>132</v>
      </c>
      <c r="F6" s="67" t="s">
        <v>132</v>
      </c>
      <c r="G6" s="67" t="s">
        <v>132</v>
      </c>
      <c r="H6" s="67" t="s">
        <v>132</v>
      </c>
      <c r="I6" s="67" t="s">
        <v>132</v>
      </c>
      <c r="J6" s="67" t="s">
        <v>132</v>
      </c>
      <c r="K6" s="67" t="s">
        <v>132</v>
      </c>
      <c r="L6" s="67" t="s">
        <v>132</v>
      </c>
      <c r="M6" s="67" t="s">
        <v>132</v>
      </c>
      <c r="N6" s="67" t="s">
        <v>132</v>
      </c>
      <c r="O6" s="67" t="s">
        <v>132</v>
      </c>
      <c r="P6" s="67" t="s">
        <v>132</v>
      </c>
      <c r="Q6" s="67" t="s">
        <v>132</v>
      </c>
      <c r="R6" s="67" t="s">
        <v>132</v>
      </c>
      <c r="S6" s="85" t="s">
        <v>132</v>
      </c>
      <c r="T6" s="89">
        <v>1.3867942840777401E-3</v>
      </c>
    </row>
    <row r="7" spans="1:20" ht="12.75" customHeight="1" x14ac:dyDescent="0.2">
      <c r="A7" s="36" t="s">
        <v>21</v>
      </c>
      <c r="B7" s="39" t="s">
        <v>68</v>
      </c>
      <c r="C7" s="105">
        <v>3.89749635384207E-4</v>
      </c>
      <c r="D7" s="106" t="s">
        <v>132</v>
      </c>
      <c r="E7" s="66">
        <v>5.0376015385239103E-5</v>
      </c>
      <c r="F7" s="66">
        <v>2.9525435732282601E-4</v>
      </c>
      <c r="G7" s="66" t="s">
        <v>132</v>
      </c>
      <c r="H7" s="66">
        <v>2.00324997199542E-4</v>
      </c>
      <c r="I7" s="66">
        <v>3.0533620520984302E-3</v>
      </c>
      <c r="J7" s="66" t="s">
        <v>132</v>
      </c>
      <c r="K7" s="66" t="s">
        <v>132</v>
      </c>
      <c r="L7" s="66" t="s">
        <v>132</v>
      </c>
      <c r="M7" s="66">
        <v>6.1058244159664706E-5</v>
      </c>
      <c r="N7" s="66" t="s">
        <v>132</v>
      </c>
      <c r="O7" s="66" t="s">
        <v>132</v>
      </c>
      <c r="P7" s="66" t="s">
        <v>132</v>
      </c>
      <c r="Q7" s="66" t="s">
        <v>132</v>
      </c>
      <c r="R7" s="66" t="s">
        <v>132</v>
      </c>
      <c r="S7" s="84">
        <v>2.0079377072484499E-3</v>
      </c>
      <c r="T7" s="88">
        <v>6.0580630087983586E-3</v>
      </c>
    </row>
    <row r="8" spans="1:20" ht="12.75" customHeight="1" x14ac:dyDescent="0.2">
      <c r="A8" s="35" t="s">
        <v>22</v>
      </c>
      <c r="B8" s="40" t="s">
        <v>68</v>
      </c>
      <c r="C8" s="103" t="s">
        <v>132</v>
      </c>
      <c r="D8" s="104" t="s">
        <v>132</v>
      </c>
      <c r="E8" s="67" t="s">
        <v>132</v>
      </c>
      <c r="F8" s="67" t="s">
        <v>132</v>
      </c>
      <c r="G8" s="67" t="s">
        <v>132</v>
      </c>
      <c r="H8" s="67" t="s">
        <v>132</v>
      </c>
      <c r="I8" s="67" t="s">
        <v>132</v>
      </c>
      <c r="J8" s="67" t="s">
        <v>132</v>
      </c>
      <c r="K8" s="67">
        <v>1.4082818342714199E-3</v>
      </c>
      <c r="L8" s="67" t="s">
        <v>132</v>
      </c>
      <c r="M8" s="67" t="s">
        <v>132</v>
      </c>
      <c r="N8" s="67" t="s">
        <v>132</v>
      </c>
      <c r="O8" s="67" t="s">
        <v>132</v>
      </c>
      <c r="P8" s="67" t="s">
        <v>132</v>
      </c>
      <c r="Q8" s="67" t="s">
        <v>132</v>
      </c>
      <c r="R8" s="67" t="s">
        <v>132</v>
      </c>
      <c r="S8" s="85" t="s">
        <v>132</v>
      </c>
      <c r="T8" s="89">
        <v>1.4082818342714199E-3</v>
      </c>
    </row>
    <row r="9" spans="1:20" ht="12.75" customHeight="1" x14ac:dyDescent="0.2">
      <c r="A9" s="36" t="s">
        <v>69</v>
      </c>
      <c r="B9" s="39" t="s">
        <v>68</v>
      </c>
      <c r="C9" s="105">
        <v>3.9605196162879799E-4</v>
      </c>
      <c r="D9" s="106" t="s">
        <v>132</v>
      </c>
      <c r="E9" s="66">
        <v>7.0413505960926798E-6</v>
      </c>
      <c r="F9" s="66">
        <v>2.0624179388173099E-4</v>
      </c>
      <c r="G9" s="66">
        <v>3.67713468842801E-5</v>
      </c>
      <c r="H9" s="66">
        <v>9.4867291182327705E-5</v>
      </c>
      <c r="I9" s="66">
        <v>1.0704052933522899E-3</v>
      </c>
      <c r="J9" s="66">
        <v>4.0770054873552802E-5</v>
      </c>
      <c r="K9" s="66" t="s">
        <v>132</v>
      </c>
      <c r="L9" s="66" t="s">
        <v>132</v>
      </c>
      <c r="M9" s="66">
        <v>9.6753322781205505E-5</v>
      </c>
      <c r="N9" s="66">
        <v>1.4560733883411701E-5</v>
      </c>
      <c r="O9" s="66" t="s">
        <v>132</v>
      </c>
      <c r="P9" s="66" t="s">
        <v>132</v>
      </c>
      <c r="Q9" s="66" t="s">
        <v>132</v>
      </c>
      <c r="R9" s="66">
        <v>1.28656441494574E-5</v>
      </c>
      <c r="S9" s="84">
        <v>2.5594234770252499E-3</v>
      </c>
      <c r="T9" s="88">
        <v>4.5357522702383964E-3</v>
      </c>
    </row>
    <row r="10" spans="1:20" ht="12.75" customHeight="1" x14ac:dyDescent="0.2">
      <c r="A10" s="35" t="s">
        <v>77</v>
      </c>
      <c r="B10" s="40" t="s">
        <v>70</v>
      </c>
      <c r="C10" s="103">
        <v>4.4333244688587699E-4</v>
      </c>
      <c r="D10" s="104" t="s">
        <v>132</v>
      </c>
      <c r="E10" s="67" t="s">
        <v>132</v>
      </c>
      <c r="F10" s="67" t="s">
        <v>132</v>
      </c>
      <c r="G10" s="67" t="s">
        <v>132</v>
      </c>
      <c r="H10" s="67" t="s">
        <v>132</v>
      </c>
      <c r="I10" s="67">
        <v>1.2164368882808801E-3</v>
      </c>
      <c r="J10" s="67" t="s">
        <v>132</v>
      </c>
      <c r="K10" s="67">
        <v>2.0046769344011801E-3</v>
      </c>
      <c r="L10" s="67">
        <v>3.9437665301375203E-3</v>
      </c>
      <c r="M10" s="67">
        <v>4.21176077464184E-5</v>
      </c>
      <c r="N10" s="67" t="s">
        <v>132</v>
      </c>
      <c r="O10" s="67" t="s">
        <v>132</v>
      </c>
      <c r="P10" s="67" t="s">
        <v>132</v>
      </c>
      <c r="Q10" s="67" t="s">
        <v>132</v>
      </c>
      <c r="R10" s="67" t="s">
        <v>132</v>
      </c>
      <c r="S10" s="85">
        <v>2.5663929996751602E-3</v>
      </c>
      <c r="T10" s="89">
        <v>1.0216723407127037E-2</v>
      </c>
    </row>
    <row r="11" spans="1:20" ht="12.75" customHeight="1" x14ac:dyDescent="0.2">
      <c r="A11" s="36" t="s">
        <v>28</v>
      </c>
      <c r="B11" s="39" t="s">
        <v>70</v>
      </c>
      <c r="C11" s="105" t="s">
        <v>132</v>
      </c>
      <c r="D11" s="106" t="s">
        <v>132</v>
      </c>
      <c r="E11" s="66" t="s">
        <v>132</v>
      </c>
      <c r="F11" s="66">
        <v>2.9995111799828097E-4</v>
      </c>
      <c r="G11" s="66" t="s">
        <v>132</v>
      </c>
      <c r="H11" s="66" t="s">
        <v>132</v>
      </c>
      <c r="I11" s="66" t="s">
        <v>132</v>
      </c>
      <c r="J11" s="66" t="s">
        <v>132</v>
      </c>
      <c r="K11" s="66">
        <v>2.0385027436776401E-5</v>
      </c>
      <c r="L11" s="66" t="s">
        <v>132</v>
      </c>
      <c r="M11" s="66" t="s">
        <v>132</v>
      </c>
      <c r="N11" s="66" t="s">
        <v>132</v>
      </c>
      <c r="O11" s="66" t="s">
        <v>132</v>
      </c>
      <c r="P11" s="66" t="s">
        <v>132</v>
      </c>
      <c r="Q11" s="66" t="s">
        <v>132</v>
      </c>
      <c r="R11" s="66" t="s">
        <v>132</v>
      </c>
      <c r="S11" s="84">
        <v>2.6271546603470601E-3</v>
      </c>
      <c r="T11" s="88">
        <v>2.9474908057821173E-3</v>
      </c>
    </row>
    <row r="12" spans="1:20" ht="12.75" customHeight="1" x14ac:dyDescent="0.2">
      <c r="A12" s="35" t="s">
        <v>29</v>
      </c>
      <c r="B12" s="40" t="s">
        <v>70</v>
      </c>
      <c r="C12" s="103" t="s">
        <v>132</v>
      </c>
      <c r="D12" s="104" t="s">
        <v>132</v>
      </c>
      <c r="E12" s="67" t="s">
        <v>132</v>
      </c>
      <c r="F12" s="67" t="s">
        <v>132</v>
      </c>
      <c r="G12" s="67" t="s">
        <v>132</v>
      </c>
      <c r="H12" s="67" t="s">
        <v>132</v>
      </c>
      <c r="I12" s="67">
        <v>3.1643483110927899E-5</v>
      </c>
      <c r="J12" s="67" t="s">
        <v>132</v>
      </c>
      <c r="K12" s="67" t="s">
        <v>132</v>
      </c>
      <c r="L12" s="67" t="s">
        <v>132</v>
      </c>
      <c r="M12" s="67" t="s">
        <v>132</v>
      </c>
      <c r="N12" s="67" t="s">
        <v>132</v>
      </c>
      <c r="O12" s="67" t="s">
        <v>132</v>
      </c>
      <c r="P12" s="67" t="s">
        <v>132</v>
      </c>
      <c r="Q12" s="67" t="s">
        <v>132</v>
      </c>
      <c r="R12" s="67" t="s">
        <v>132</v>
      </c>
      <c r="S12" s="85">
        <v>6.3828890770315904E-4</v>
      </c>
      <c r="T12" s="89">
        <v>6.6993239081408697E-4</v>
      </c>
    </row>
    <row r="13" spans="1:20" ht="12.75" customHeight="1" x14ac:dyDescent="0.2">
      <c r="A13" s="36" t="s">
        <v>30</v>
      </c>
      <c r="B13" s="39" t="s">
        <v>70</v>
      </c>
      <c r="C13" s="105" t="s">
        <v>132</v>
      </c>
      <c r="D13" s="106" t="s">
        <v>132</v>
      </c>
      <c r="E13" s="66">
        <v>1.1648587106729401E-5</v>
      </c>
      <c r="F13" s="66">
        <v>2.5166981618442001E-4</v>
      </c>
      <c r="G13" s="66" t="s">
        <v>132</v>
      </c>
      <c r="H13" s="66">
        <v>6.6938137350039901E-6</v>
      </c>
      <c r="I13" s="66">
        <v>3.4542173487245997E-4</v>
      </c>
      <c r="J13" s="66" t="s">
        <v>132</v>
      </c>
      <c r="K13" s="66">
        <v>5.82429355336468E-6</v>
      </c>
      <c r="L13" s="66" t="s">
        <v>132</v>
      </c>
      <c r="M13" s="66">
        <v>2.91214677668234E-6</v>
      </c>
      <c r="N13" s="66" t="s">
        <v>132</v>
      </c>
      <c r="O13" s="66" t="s">
        <v>132</v>
      </c>
      <c r="P13" s="66" t="s">
        <v>132</v>
      </c>
      <c r="Q13" s="66" t="s">
        <v>132</v>
      </c>
      <c r="R13" s="66" t="s">
        <v>132</v>
      </c>
      <c r="S13" s="84">
        <v>3.9711019607289203E-3</v>
      </c>
      <c r="T13" s="88">
        <v>4.5952723529575808E-3</v>
      </c>
    </row>
    <row r="14" spans="1:20" ht="12.75" customHeight="1" x14ac:dyDescent="0.2">
      <c r="A14" s="35" t="s">
        <v>31</v>
      </c>
      <c r="B14" s="40" t="s">
        <v>70</v>
      </c>
      <c r="C14" s="103">
        <v>6.5633179048663301E-6</v>
      </c>
      <c r="D14" s="104" t="s">
        <v>132</v>
      </c>
      <c r="E14" s="67">
        <v>2.9817897546835898E-5</v>
      </c>
      <c r="F14" s="67">
        <v>5.0460737545797203E-5</v>
      </c>
      <c r="G14" s="67" t="s">
        <v>132</v>
      </c>
      <c r="H14" s="67">
        <v>2.32971742134587E-5</v>
      </c>
      <c r="I14" s="67">
        <v>1.3143491334302799E-4</v>
      </c>
      <c r="J14" s="67" t="s">
        <v>132</v>
      </c>
      <c r="K14" s="67">
        <v>2.0385027436776401E-5</v>
      </c>
      <c r="L14" s="67" t="s">
        <v>132</v>
      </c>
      <c r="M14" s="67">
        <v>2.91214677668234E-6</v>
      </c>
      <c r="N14" s="67" t="s">
        <v>132</v>
      </c>
      <c r="O14" s="67" t="s">
        <v>132</v>
      </c>
      <c r="P14" s="67" t="s">
        <v>132</v>
      </c>
      <c r="Q14" s="67" t="s">
        <v>132</v>
      </c>
      <c r="R14" s="67" t="s">
        <v>132</v>
      </c>
      <c r="S14" s="85">
        <v>1.01803702691176E-3</v>
      </c>
      <c r="T14" s="89">
        <v>1.2829082416792048E-3</v>
      </c>
    </row>
    <row r="15" spans="1:20" ht="12.75" customHeight="1" x14ac:dyDescent="0.2">
      <c r="A15" s="36" t="s">
        <v>20</v>
      </c>
      <c r="B15" s="39" t="s">
        <v>70</v>
      </c>
      <c r="C15" s="105" t="s">
        <v>132</v>
      </c>
      <c r="D15" s="106" t="s">
        <v>132</v>
      </c>
      <c r="E15" s="66" t="s">
        <v>132</v>
      </c>
      <c r="F15" s="66" t="s">
        <v>132</v>
      </c>
      <c r="G15" s="66">
        <v>1.07807122897967E-3</v>
      </c>
      <c r="H15" s="66" t="s">
        <v>132</v>
      </c>
      <c r="I15" s="66" t="s">
        <v>132</v>
      </c>
      <c r="J15" s="66" t="s">
        <v>132</v>
      </c>
      <c r="K15" s="66" t="s">
        <v>132</v>
      </c>
      <c r="L15" s="66" t="s">
        <v>132</v>
      </c>
      <c r="M15" s="66" t="s">
        <v>132</v>
      </c>
      <c r="N15" s="66" t="s">
        <v>132</v>
      </c>
      <c r="O15" s="66" t="s">
        <v>132</v>
      </c>
      <c r="P15" s="66" t="s">
        <v>132</v>
      </c>
      <c r="Q15" s="66" t="s">
        <v>132</v>
      </c>
      <c r="R15" s="66" t="s">
        <v>132</v>
      </c>
      <c r="S15" s="84" t="s">
        <v>132</v>
      </c>
      <c r="T15" s="88">
        <v>1.07807122897967E-3</v>
      </c>
    </row>
    <row r="16" spans="1:20" ht="12.75" customHeight="1" x14ac:dyDescent="0.2">
      <c r="A16" s="35" t="s">
        <v>32</v>
      </c>
      <c r="B16" s="40" t="s">
        <v>70</v>
      </c>
      <c r="C16" s="103">
        <v>3.1262088436280798E-6</v>
      </c>
      <c r="D16" s="104" t="s">
        <v>132</v>
      </c>
      <c r="E16" s="67" t="s">
        <v>132</v>
      </c>
      <c r="F16" s="67">
        <v>1.8041962536016201E-4</v>
      </c>
      <c r="G16" s="67" t="s">
        <v>132</v>
      </c>
      <c r="H16" s="67" t="s">
        <v>132</v>
      </c>
      <c r="I16" s="67">
        <v>1.1753119376623E-4</v>
      </c>
      <c r="J16" s="67">
        <v>5.82429355336468E-6</v>
      </c>
      <c r="K16" s="67">
        <v>3.6293314193053701E-5</v>
      </c>
      <c r="L16" s="67" t="s">
        <v>132</v>
      </c>
      <c r="M16" s="67">
        <v>3.0426426068199898E-6</v>
      </c>
      <c r="N16" s="67" t="s">
        <v>132</v>
      </c>
      <c r="O16" s="67" t="s">
        <v>132</v>
      </c>
      <c r="P16" s="67" t="s">
        <v>132</v>
      </c>
      <c r="Q16" s="67" t="s">
        <v>132</v>
      </c>
      <c r="R16" s="67" t="s">
        <v>132</v>
      </c>
      <c r="S16" s="85">
        <v>7.6505112775733302E-3</v>
      </c>
      <c r="T16" s="89">
        <v>7.9967485558965889E-3</v>
      </c>
    </row>
    <row r="17" spans="1:20" ht="12.75" customHeight="1" x14ac:dyDescent="0.2">
      <c r="A17" s="36" t="s">
        <v>23</v>
      </c>
      <c r="B17" s="39" t="s">
        <v>71</v>
      </c>
      <c r="C17" s="105" t="s">
        <v>132</v>
      </c>
      <c r="D17" s="106" t="s">
        <v>132</v>
      </c>
      <c r="E17" s="66" t="s">
        <v>132</v>
      </c>
      <c r="F17" s="66" t="s">
        <v>132</v>
      </c>
      <c r="G17" s="66" t="s">
        <v>132</v>
      </c>
      <c r="H17" s="66" t="s">
        <v>132</v>
      </c>
      <c r="I17" s="66" t="s">
        <v>132</v>
      </c>
      <c r="J17" s="66" t="s">
        <v>132</v>
      </c>
      <c r="K17" s="66" t="s">
        <v>132</v>
      </c>
      <c r="L17" s="66">
        <v>4.4536096233876998E-3</v>
      </c>
      <c r="M17" s="66" t="s">
        <v>132</v>
      </c>
      <c r="N17" s="66" t="s">
        <v>132</v>
      </c>
      <c r="O17" s="66" t="s">
        <v>132</v>
      </c>
      <c r="P17" s="66" t="s">
        <v>132</v>
      </c>
      <c r="Q17" s="66" t="s">
        <v>132</v>
      </c>
      <c r="R17" s="66" t="s">
        <v>132</v>
      </c>
      <c r="S17" s="84" t="s">
        <v>132</v>
      </c>
      <c r="T17" s="88">
        <v>4.4536096233876998E-3</v>
      </c>
    </row>
    <row r="18" spans="1:20" ht="12.75" customHeight="1" x14ac:dyDescent="0.2">
      <c r="A18" s="35" t="s">
        <v>24</v>
      </c>
      <c r="B18" s="40" t="s">
        <v>72</v>
      </c>
      <c r="C18" s="103" t="s">
        <v>132</v>
      </c>
      <c r="D18" s="104" t="s">
        <v>132</v>
      </c>
      <c r="E18" s="67" t="s">
        <v>132</v>
      </c>
      <c r="F18" s="67" t="s">
        <v>132</v>
      </c>
      <c r="G18" s="67" t="s">
        <v>132</v>
      </c>
      <c r="H18" s="67" t="s">
        <v>132</v>
      </c>
      <c r="I18" s="67" t="s">
        <v>132</v>
      </c>
      <c r="J18" s="67" t="s">
        <v>132</v>
      </c>
      <c r="K18" s="67" t="s">
        <v>132</v>
      </c>
      <c r="L18" s="67" t="s">
        <v>132</v>
      </c>
      <c r="M18" s="67" t="s">
        <v>132</v>
      </c>
      <c r="N18" s="67" t="s">
        <v>132</v>
      </c>
      <c r="O18" s="67" t="s">
        <v>132</v>
      </c>
      <c r="P18" s="67">
        <v>2.5687617427744901E-2</v>
      </c>
      <c r="Q18" s="67" t="s">
        <v>132</v>
      </c>
      <c r="R18" s="67" t="s">
        <v>132</v>
      </c>
      <c r="S18" s="85" t="s">
        <v>132</v>
      </c>
      <c r="T18" s="89">
        <v>2.5687617427744901E-2</v>
      </c>
    </row>
    <row r="19" spans="1:20" ht="12.75" customHeight="1" x14ac:dyDescent="0.2">
      <c r="A19" s="36" t="s">
        <v>25</v>
      </c>
      <c r="B19" s="39" t="s">
        <v>72</v>
      </c>
      <c r="C19" s="105" t="s">
        <v>132</v>
      </c>
      <c r="D19" s="106" t="s">
        <v>132</v>
      </c>
      <c r="E19" s="66" t="s">
        <v>132</v>
      </c>
      <c r="F19" s="66" t="s">
        <v>132</v>
      </c>
      <c r="G19" s="66" t="s">
        <v>132</v>
      </c>
      <c r="H19" s="66" t="s">
        <v>132</v>
      </c>
      <c r="I19" s="66" t="s">
        <v>132</v>
      </c>
      <c r="J19" s="66" t="s">
        <v>132</v>
      </c>
      <c r="K19" s="66" t="s">
        <v>132</v>
      </c>
      <c r="L19" s="66" t="s">
        <v>132</v>
      </c>
      <c r="M19" s="66" t="s">
        <v>132</v>
      </c>
      <c r="N19" s="66" t="s">
        <v>132</v>
      </c>
      <c r="O19" s="66" t="s">
        <v>132</v>
      </c>
      <c r="P19" s="66">
        <v>2.3354657259124698E-2</v>
      </c>
      <c r="Q19" s="66" t="s">
        <v>132</v>
      </c>
      <c r="R19" s="66" t="s">
        <v>132</v>
      </c>
      <c r="S19" s="84" t="s">
        <v>132</v>
      </c>
      <c r="T19" s="88">
        <v>2.3354657259124698E-2</v>
      </c>
    </row>
    <row r="20" spans="1:20" ht="12.75" customHeight="1" x14ac:dyDescent="0.2">
      <c r="A20" s="35" t="s">
        <v>78</v>
      </c>
      <c r="B20" s="40" t="s">
        <v>72</v>
      </c>
      <c r="C20" s="103" t="s">
        <v>132</v>
      </c>
      <c r="D20" s="104" t="s">
        <v>132</v>
      </c>
      <c r="E20" s="67" t="s">
        <v>132</v>
      </c>
      <c r="F20" s="67" t="s">
        <v>132</v>
      </c>
      <c r="G20" s="67" t="s">
        <v>132</v>
      </c>
      <c r="H20" s="67" t="s">
        <v>132</v>
      </c>
      <c r="I20" s="67" t="s">
        <v>132</v>
      </c>
      <c r="J20" s="67" t="s">
        <v>132</v>
      </c>
      <c r="K20" s="67" t="s">
        <v>132</v>
      </c>
      <c r="L20" s="67" t="s">
        <v>132</v>
      </c>
      <c r="M20" s="67" t="s">
        <v>132</v>
      </c>
      <c r="N20" s="67" t="s">
        <v>132</v>
      </c>
      <c r="O20" s="67" t="s">
        <v>132</v>
      </c>
      <c r="P20" s="67" t="s">
        <v>132</v>
      </c>
      <c r="Q20" s="67">
        <v>3.8670401381338151E-4</v>
      </c>
      <c r="R20" s="67" t="s">
        <v>132</v>
      </c>
      <c r="S20" s="85" t="s">
        <v>132</v>
      </c>
      <c r="T20" s="89">
        <v>3.8670401381338151E-4</v>
      </c>
    </row>
    <row r="21" spans="1:20" ht="12.75" customHeight="1" x14ac:dyDescent="0.2">
      <c r="A21" s="36" t="s">
        <v>26</v>
      </c>
      <c r="B21" s="39" t="s">
        <v>72</v>
      </c>
      <c r="C21" s="105" t="s">
        <v>132</v>
      </c>
      <c r="D21" s="106" t="s">
        <v>132</v>
      </c>
      <c r="E21" s="66" t="s">
        <v>132</v>
      </c>
      <c r="F21" s="66" t="s">
        <v>132</v>
      </c>
      <c r="G21" s="66" t="s">
        <v>132</v>
      </c>
      <c r="H21" s="66" t="s">
        <v>132</v>
      </c>
      <c r="I21" s="66" t="s">
        <v>132</v>
      </c>
      <c r="J21" s="66" t="s">
        <v>132</v>
      </c>
      <c r="K21" s="66" t="s">
        <v>132</v>
      </c>
      <c r="L21" s="66" t="s">
        <v>132</v>
      </c>
      <c r="M21" s="66" t="s">
        <v>132</v>
      </c>
      <c r="N21" s="66" t="s">
        <v>132</v>
      </c>
      <c r="O21" s="66" t="s">
        <v>132</v>
      </c>
      <c r="P21" s="66">
        <v>9.4960592602614993E-3</v>
      </c>
      <c r="Q21" s="66" t="s">
        <v>132</v>
      </c>
      <c r="R21" s="66" t="s">
        <v>132</v>
      </c>
      <c r="S21" s="84" t="s">
        <v>132</v>
      </c>
      <c r="T21" s="88">
        <v>9.4960592602614993E-3</v>
      </c>
    </row>
    <row r="22" spans="1:20" ht="12.75" customHeight="1" thickBot="1" x14ac:dyDescent="0.25">
      <c r="A22" s="43" t="s">
        <v>27</v>
      </c>
      <c r="B22" s="42" t="s">
        <v>72</v>
      </c>
      <c r="C22" s="107" t="s">
        <v>132</v>
      </c>
      <c r="D22" s="108" t="s">
        <v>132</v>
      </c>
      <c r="E22" s="74" t="s">
        <v>132</v>
      </c>
      <c r="F22" s="74" t="s">
        <v>132</v>
      </c>
      <c r="G22" s="74" t="s">
        <v>132</v>
      </c>
      <c r="H22" s="74" t="s">
        <v>132</v>
      </c>
      <c r="I22" s="74" t="s">
        <v>132</v>
      </c>
      <c r="J22" s="74" t="s">
        <v>132</v>
      </c>
      <c r="K22" s="74" t="s">
        <v>132</v>
      </c>
      <c r="L22" s="74" t="s">
        <v>132</v>
      </c>
      <c r="M22" s="74" t="s">
        <v>132</v>
      </c>
      <c r="N22" s="74" t="s">
        <v>132</v>
      </c>
      <c r="O22" s="74" t="s">
        <v>132</v>
      </c>
      <c r="P22" s="74" t="s">
        <v>132</v>
      </c>
      <c r="Q22" s="74">
        <v>1.0191791722395E-2</v>
      </c>
      <c r="R22" s="74" t="s">
        <v>132</v>
      </c>
      <c r="S22" s="86" t="s">
        <v>132</v>
      </c>
      <c r="T22" s="75">
        <v>1.0191791722395E-2</v>
      </c>
    </row>
    <row r="23" spans="1:20" ht="12.75" customHeight="1" thickTop="1" thickBot="1" x14ac:dyDescent="0.25">
      <c r="A23" s="34" t="s">
        <v>0</v>
      </c>
      <c r="B23" s="41"/>
      <c r="C23" s="101">
        <v>1.5611270751957595E-2</v>
      </c>
      <c r="D23" s="102" t="s">
        <v>132</v>
      </c>
      <c r="E23" s="73">
        <v>5.1359676279906534E-3</v>
      </c>
      <c r="F23" s="73">
        <v>5.0537943356489777E-3</v>
      </c>
      <c r="G23" s="73">
        <v>1.1690442088368351E-3</v>
      </c>
      <c r="H23" s="73">
        <v>3.5239261333225042E-4</v>
      </c>
      <c r="I23" s="73">
        <v>6.5661876409031476E-3</v>
      </c>
      <c r="J23" s="73">
        <v>4.659434842691748E-5</v>
      </c>
      <c r="K23" s="73">
        <v>3.5224472397731251E-3</v>
      </c>
      <c r="L23" s="73">
        <v>8.3973761535252201E-3</v>
      </c>
      <c r="M23" s="73">
        <v>3.3432174162824335E-4</v>
      </c>
      <c r="N23" s="73">
        <v>1.214873071840137E-4</v>
      </c>
      <c r="O23" s="73" t="s">
        <v>132</v>
      </c>
      <c r="P23" s="73">
        <v>5.8538333947131101E-2</v>
      </c>
      <c r="Q23" s="73">
        <v>1.0578495736208381E-2</v>
      </c>
      <c r="R23" s="73">
        <v>2.160208447950442E-5</v>
      </c>
      <c r="S23" s="87">
        <v>2.3299546477799974E-2</v>
      </c>
      <c r="T23" s="90">
        <v>0.13874886221482596</v>
      </c>
    </row>
    <row r="26" spans="1:20" ht="15" x14ac:dyDescent="0.25">
      <c r="A26" s="100" t="s">
        <v>103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0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ht="13.5" thickBot="1" x14ac:dyDescent="0.25">
      <c r="A28" s="31" t="s">
        <v>133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39" thickBot="1" x14ac:dyDescent="0.25">
      <c r="A29" s="38" t="s">
        <v>65</v>
      </c>
      <c r="B29" s="37" t="s">
        <v>73</v>
      </c>
      <c r="C29" s="45" t="s">
        <v>74</v>
      </c>
      <c r="D29" s="46" t="s">
        <v>75</v>
      </c>
      <c r="E29" s="32" t="s">
        <v>50</v>
      </c>
      <c r="F29" s="32" t="s">
        <v>51</v>
      </c>
      <c r="G29" s="32" t="s">
        <v>52</v>
      </c>
      <c r="H29" s="32" t="s">
        <v>53</v>
      </c>
      <c r="I29" s="32" t="s">
        <v>63</v>
      </c>
      <c r="J29" s="32" t="s">
        <v>54</v>
      </c>
      <c r="K29" s="32" t="s">
        <v>55</v>
      </c>
      <c r="L29" s="32" t="s">
        <v>56</v>
      </c>
      <c r="M29" s="32" t="s">
        <v>57</v>
      </c>
      <c r="N29" s="32" t="s">
        <v>58</v>
      </c>
      <c r="O29" s="32" t="s">
        <v>59</v>
      </c>
      <c r="P29" s="32" t="s">
        <v>60</v>
      </c>
      <c r="Q29" s="32" t="s">
        <v>61</v>
      </c>
      <c r="R29" s="32" t="s">
        <v>81</v>
      </c>
      <c r="S29" s="44" t="s">
        <v>62</v>
      </c>
      <c r="T29" s="33" t="s">
        <v>0</v>
      </c>
    </row>
    <row r="30" spans="1:20" x14ac:dyDescent="0.2">
      <c r="A30" s="36" t="s">
        <v>67</v>
      </c>
      <c r="B30" s="39" t="s">
        <v>68</v>
      </c>
      <c r="C30" s="93">
        <v>7.7589839468285085E-3</v>
      </c>
      <c r="D30" s="94">
        <v>7.0286862984139708E-4</v>
      </c>
      <c r="E30" s="66">
        <v>2.7326160873275846E-3</v>
      </c>
      <c r="F30" s="66">
        <v>1.7760290253898271E-3</v>
      </c>
      <c r="G30" s="66">
        <v>3.0857647159282699E-5</v>
      </c>
      <c r="H30" s="66">
        <v>2.0571764772855101E-5</v>
      </c>
      <c r="I30" s="66">
        <v>3.9600647187746084E-4</v>
      </c>
      <c r="J30" s="66" t="s">
        <v>132</v>
      </c>
      <c r="K30" s="66">
        <v>2.0571764772855101E-5</v>
      </c>
      <c r="L30" s="66" t="s">
        <v>132</v>
      </c>
      <c r="M30" s="66">
        <v>6.1715294318565194E-5</v>
      </c>
      <c r="N30" s="66">
        <v>2.0571764772855101E-5</v>
      </c>
      <c r="O30" s="66" t="s">
        <v>132</v>
      </c>
      <c r="P30" s="66" t="s">
        <v>132</v>
      </c>
      <c r="Q30" s="66" t="s">
        <v>132</v>
      </c>
      <c r="R30" s="66">
        <v>1.02858823864275E-5</v>
      </c>
      <c r="S30" s="84">
        <v>2.0571764772855093E-4</v>
      </c>
      <c r="T30" s="88">
        <v>1.373679592717617E-2</v>
      </c>
    </row>
    <row r="31" spans="1:20" x14ac:dyDescent="0.2">
      <c r="A31" s="35" t="s">
        <v>19</v>
      </c>
      <c r="B31" s="40" t="s">
        <v>68</v>
      </c>
      <c r="C31" s="103">
        <v>8.8801451269491204E-4</v>
      </c>
      <c r="D31" s="104" t="s">
        <v>132</v>
      </c>
      <c r="E31" s="67" t="s">
        <v>132</v>
      </c>
      <c r="F31" s="67" t="s">
        <v>132</v>
      </c>
      <c r="G31" s="67" t="s">
        <v>132</v>
      </c>
      <c r="H31" s="67" t="s">
        <v>132</v>
      </c>
      <c r="I31" s="67" t="s">
        <v>132</v>
      </c>
      <c r="J31" s="67" t="s">
        <v>132</v>
      </c>
      <c r="K31" s="67" t="s">
        <v>132</v>
      </c>
      <c r="L31" s="67" t="s">
        <v>132</v>
      </c>
      <c r="M31" s="67" t="s">
        <v>132</v>
      </c>
      <c r="N31" s="67" t="s">
        <v>132</v>
      </c>
      <c r="O31" s="67" t="s">
        <v>132</v>
      </c>
      <c r="P31" s="67" t="s">
        <v>132</v>
      </c>
      <c r="Q31" s="67" t="s">
        <v>132</v>
      </c>
      <c r="R31" s="67" t="s">
        <v>132</v>
      </c>
      <c r="S31" s="85" t="s">
        <v>132</v>
      </c>
      <c r="T31" s="89">
        <v>8.8801451269491204E-4</v>
      </c>
    </row>
    <row r="32" spans="1:20" x14ac:dyDescent="0.2">
      <c r="A32" s="36" t="s">
        <v>21</v>
      </c>
      <c r="B32" s="39" t="s">
        <v>68</v>
      </c>
      <c r="C32" s="105">
        <v>4.5600745246495502E-4</v>
      </c>
      <c r="D32" s="106" t="s">
        <v>132</v>
      </c>
      <c r="E32" s="66">
        <v>5.1429411932137698E-5</v>
      </c>
      <c r="F32" s="66">
        <v>3.18862353979254E-4</v>
      </c>
      <c r="G32" s="66" t="s">
        <v>132</v>
      </c>
      <c r="H32" s="66">
        <v>1.6114549072069801E-4</v>
      </c>
      <c r="I32" s="66">
        <v>2.83547491119186E-3</v>
      </c>
      <c r="J32" s="66" t="s">
        <v>132</v>
      </c>
      <c r="K32" s="66" t="s">
        <v>132</v>
      </c>
      <c r="L32" s="66" t="s">
        <v>132</v>
      </c>
      <c r="M32" s="66">
        <v>6.5143921780707803E-5</v>
      </c>
      <c r="N32" s="66" t="s">
        <v>132</v>
      </c>
      <c r="O32" s="66" t="s">
        <v>132</v>
      </c>
      <c r="P32" s="66" t="s">
        <v>132</v>
      </c>
      <c r="Q32" s="66" t="s">
        <v>132</v>
      </c>
      <c r="R32" s="66" t="s">
        <v>132</v>
      </c>
      <c r="S32" s="84">
        <v>2.0948913793690802E-3</v>
      </c>
      <c r="T32" s="88">
        <v>5.9829549214386931E-3</v>
      </c>
    </row>
    <row r="33" spans="1:20" x14ac:dyDescent="0.2">
      <c r="A33" s="35" t="s">
        <v>22</v>
      </c>
      <c r="B33" s="40" t="s">
        <v>68</v>
      </c>
      <c r="C33" s="103" t="s">
        <v>132</v>
      </c>
      <c r="D33" s="104" t="s">
        <v>132</v>
      </c>
      <c r="E33" s="67" t="s">
        <v>132</v>
      </c>
      <c r="F33" s="67" t="s">
        <v>132</v>
      </c>
      <c r="G33" s="67" t="s">
        <v>132</v>
      </c>
      <c r="H33" s="67" t="s">
        <v>132</v>
      </c>
      <c r="I33" s="67" t="s">
        <v>132</v>
      </c>
      <c r="J33" s="67" t="s">
        <v>132</v>
      </c>
      <c r="K33" s="67">
        <v>1.4228803960227899E-3</v>
      </c>
      <c r="L33" s="67" t="s">
        <v>132</v>
      </c>
      <c r="M33" s="67" t="s">
        <v>132</v>
      </c>
      <c r="N33" s="67" t="s">
        <v>132</v>
      </c>
      <c r="O33" s="67" t="s">
        <v>132</v>
      </c>
      <c r="P33" s="67" t="s">
        <v>132</v>
      </c>
      <c r="Q33" s="67" t="s">
        <v>132</v>
      </c>
      <c r="R33" s="67" t="s">
        <v>132</v>
      </c>
      <c r="S33" s="85" t="s">
        <v>132</v>
      </c>
      <c r="T33" s="89">
        <v>1.4228803960227899E-3</v>
      </c>
    </row>
    <row r="34" spans="1:20" x14ac:dyDescent="0.2">
      <c r="A34" s="36" t="s">
        <v>69</v>
      </c>
      <c r="B34" s="39" t="s">
        <v>68</v>
      </c>
      <c r="C34" s="105">
        <v>4.6629333485138198E-4</v>
      </c>
      <c r="D34" s="106" t="s">
        <v>132</v>
      </c>
      <c r="E34" s="66">
        <v>6.8572549242850299E-6</v>
      </c>
      <c r="F34" s="66">
        <v>2.0914627519069299E-4</v>
      </c>
      <c r="G34" s="66">
        <v>4.1143529545710202E-5</v>
      </c>
      <c r="H34" s="66">
        <v>8.1601333598991903E-5</v>
      </c>
      <c r="I34" s="66">
        <v>1.0423027484913201E-3</v>
      </c>
      <c r="J34" s="66">
        <v>4.8000784469995197E-5</v>
      </c>
      <c r="K34" s="66" t="s">
        <v>132</v>
      </c>
      <c r="L34" s="66" t="s">
        <v>132</v>
      </c>
      <c r="M34" s="66">
        <v>9.6001568939990502E-5</v>
      </c>
      <c r="N34" s="66">
        <v>1.71431373107126E-5</v>
      </c>
      <c r="O34" s="66" t="s">
        <v>132</v>
      </c>
      <c r="P34" s="66" t="s">
        <v>132</v>
      </c>
      <c r="Q34" s="66" t="s">
        <v>132</v>
      </c>
      <c r="R34" s="66">
        <v>1.37145098485701E-5</v>
      </c>
      <c r="S34" s="84">
        <v>2.5920423613797401E-3</v>
      </c>
      <c r="T34" s="88">
        <v>4.6142468385513905E-3</v>
      </c>
    </row>
    <row r="35" spans="1:20" x14ac:dyDescent="0.2">
      <c r="A35" s="35" t="s">
        <v>77</v>
      </c>
      <c r="B35" s="40" t="s">
        <v>70</v>
      </c>
      <c r="C35" s="103">
        <v>4.9372235454852198E-4</v>
      </c>
      <c r="D35" s="104" t="s">
        <v>132</v>
      </c>
      <c r="E35" s="67" t="s">
        <v>132</v>
      </c>
      <c r="F35" s="67" t="s">
        <v>132</v>
      </c>
      <c r="G35" s="67" t="s">
        <v>132</v>
      </c>
      <c r="H35" s="67" t="s">
        <v>132</v>
      </c>
      <c r="I35" s="67">
        <v>1.35430784754629E-3</v>
      </c>
      <c r="J35" s="67" t="s">
        <v>132</v>
      </c>
      <c r="K35" s="67">
        <v>2.2423223602412098E-3</v>
      </c>
      <c r="L35" s="67">
        <v>4.6046466816574002E-3</v>
      </c>
      <c r="M35" s="67">
        <v>4.4572157007852702E-5</v>
      </c>
      <c r="N35" s="67" t="s">
        <v>132</v>
      </c>
      <c r="O35" s="67" t="s">
        <v>132</v>
      </c>
      <c r="P35" s="67" t="s">
        <v>132</v>
      </c>
      <c r="Q35" s="67" t="s">
        <v>132</v>
      </c>
      <c r="R35" s="67" t="s">
        <v>132</v>
      </c>
      <c r="S35" s="85">
        <v>2.93901946054856E-3</v>
      </c>
      <c r="T35" s="89">
        <v>1.1678590861549834E-2</v>
      </c>
    </row>
    <row r="36" spans="1:20" x14ac:dyDescent="0.2">
      <c r="A36" s="36" t="s">
        <v>28</v>
      </c>
      <c r="B36" s="39" t="s">
        <v>70</v>
      </c>
      <c r="C36" s="105" t="s">
        <v>132</v>
      </c>
      <c r="D36" s="106" t="s">
        <v>132</v>
      </c>
      <c r="E36" s="66" t="s">
        <v>132</v>
      </c>
      <c r="F36" s="66">
        <v>3.5314862860067901E-4</v>
      </c>
      <c r="G36" s="66" t="s">
        <v>132</v>
      </c>
      <c r="H36" s="66" t="s">
        <v>132</v>
      </c>
      <c r="I36" s="66" t="s">
        <v>132</v>
      </c>
      <c r="J36" s="66" t="s">
        <v>132</v>
      </c>
      <c r="K36" s="66">
        <v>2.4000392234997598E-5</v>
      </c>
      <c r="L36" s="66" t="s">
        <v>132</v>
      </c>
      <c r="M36" s="66" t="s">
        <v>132</v>
      </c>
      <c r="N36" s="66" t="s">
        <v>132</v>
      </c>
      <c r="O36" s="66" t="s">
        <v>132</v>
      </c>
      <c r="P36" s="66" t="s">
        <v>132</v>
      </c>
      <c r="Q36" s="66" t="s">
        <v>132</v>
      </c>
      <c r="R36" s="66" t="s">
        <v>132</v>
      </c>
      <c r="S36" s="84">
        <v>2.8423321661161498E-3</v>
      </c>
      <c r="T36" s="88">
        <v>3.2194811869518266E-3</v>
      </c>
    </row>
    <row r="37" spans="1:20" x14ac:dyDescent="0.2">
      <c r="A37" s="35" t="s">
        <v>29</v>
      </c>
      <c r="B37" s="40" t="s">
        <v>70</v>
      </c>
      <c r="C37" s="103" t="s">
        <v>132</v>
      </c>
      <c r="D37" s="104" t="s">
        <v>132</v>
      </c>
      <c r="E37" s="67" t="s">
        <v>132</v>
      </c>
      <c r="F37" s="67" t="s">
        <v>132</v>
      </c>
      <c r="G37" s="67" t="s">
        <v>132</v>
      </c>
      <c r="H37" s="67" t="s">
        <v>132</v>
      </c>
      <c r="I37" s="67" t="s">
        <v>132</v>
      </c>
      <c r="J37" s="67" t="s">
        <v>132</v>
      </c>
      <c r="K37" s="67" t="s">
        <v>132</v>
      </c>
      <c r="L37" s="67" t="s">
        <v>132</v>
      </c>
      <c r="M37" s="67" t="s">
        <v>132</v>
      </c>
      <c r="N37" s="67" t="s">
        <v>132</v>
      </c>
      <c r="O37" s="67" t="s">
        <v>132</v>
      </c>
      <c r="P37" s="67" t="s">
        <v>132</v>
      </c>
      <c r="Q37" s="67" t="s">
        <v>132</v>
      </c>
      <c r="R37" s="67" t="s">
        <v>132</v>
      </c>
      <c r="S37" s="85">
        <v>4.9715098201066497E-4</v>
      </c>
      <c r="T37" s="89">
        <v>4.9715098201066497E-4</v>
      </c>
    </row>
    <row r="38" spans="1:20" x14ac:dyDescent="0.2">
      <c r="A38" s="36" t="s">
        <v>30</v>
      </c>
      <c r="B38" s="39" t="s">
        <v>70</v>
      </c>
      <c r="C38" s="105" t="s">
        <v>132</v>
      </c>
      <c r="D38" s="106" t="s">
        <v>132</v>
      </c>
      <c r="E38" s="66">
        <v>1.37145098485701E-5</v>
      </c>
      <c r="F38" s="66">
        <v>6.8572549242850299E-6</v>
      </c>
      <c r="G38" s="66" t="s">
        <v>132</v>
      </c>
      <c r="H38" s="66" t="s">
        <v>132</v>
      </c>
      <c r="I38" s="66">
        <v>1.8171725549355301E-4</v>
      </c>
      <c r="J38" s="66" t="s">
        <v>132</v>
      </c>
      <c r="K38" s="66">
        <v>6.8572549242850299E-6</v>
      </c>
      <c r="L38" s="66" t="s">
        <v>132</v>
      </c>
      <c r="M38" s="66">
        <v>3.42862746214252E-6</v>
      </c>
      <c r="N38" s="66" t="s">
        <v>132</v>
      </c>
      <c r="O38" s="66" t="s">
        <v>132</v>
      </c>
      <c r="P38" s="66" t="s">
        <v>132</v>
      </c>
      <c r="Q38" s="66" t="s">
        <v>132</v>
      </c>
      <c r="R38" s="66" t="s">
        <v>132</v>
      </c>
      <c r="S38" s="84">
        <v>3.8544629929406198E-3</v>
      </c>
      <c r="T38" s="88">
        <v>4.0670378955934552E-3</v>
      </c>
    </row>
    <row r="39" spans="1:20" x14ac:dyDescent="0.2">
      <c r="A39" s="35" t="s">
        <v>31</v>
      </c>
      <c r="B39" s="40" t="s">
        <v>70</v>
      </c>
      <c r="C39" s="103">
        <v>3.42862746214252E-6</v>
      </c>
      <c r="D39" s="104" t="s">
        <v>132</v>
      </c>
      <c r="E39" s="67" t="s">
        <v>132</v>
      </c>
      <c r="F39" s="67" t="s">
        <v>132</v>
      </c>
      <c r="G39" s="67" t="s">
        <v>132</v>
      </c>
      <c r="H39" s="67">
        <v>2.7429019697140099E-5</v>
      </c>
      <c r="I39" s="67">
        <v>1.26859216099273E-4</v>
      </c>
      <c r="J39" s="67" t="s">
        <v>132</v>
      </c>
      <c r="K39" s="67">
        <v>2.4000392234997598E-5</v>
      </c>
      <c r="L39" s="67" t="s">
        <v>132</v>
      </c>
      <c r="M39" s="67">
        <v>3.42862746214252E-6</v>
      </c>
      <c r="N39" s="67" t="s">
        <v>132</v>
      </c>
      <c r="O39" s="67" t="s">
        <v>132</v>
      </c>
      <c r="P39" s="67" t="s">
        <v>132</v>
      </c>
      <c r="Q39" s="67" t="s">
        <v>132</v>
      </c>
      <c r="R39" s="67" t="s">
        <v>132</v>
      </c>
      <c r="S39" s="85">
        <v>1.10401804280989E-3</v>
      </c>
      <c r="T39" s="89">
        <v>1.2891639257655858E-3</v>
      </c>
    </row>
    <row r="40" spans="1:20" x14ac:dyDescent="0.2">
      <c r="A40" s="36" t="s">
        <v>20</v>
      </c>
      <c r="B40" s="39" t="s">
        <v>70</v>
      </c>
      <c r="C40" s="105" t="s">
        <v>132</v>
      </c>
      <c r="D40" s="106" t="s">
        <v>132</v>
      </c>
      <c r="E40" s="66" t="s">
        <v>132</v>
      </c>
      <c r="F40" s="66" t="s">
        <v>132</v>
      </c>
      <c r="G40" s="66">
        <v>1.2334487295057701E-3</v>
      </c>
      <c r="H40" s="66" t="s">
        <v>132</v>
      </c>
      <c r="I40" s="66" t="s">
        <v>132</v>
      </c>
      <c r="J40" s="66" t="s">
        <v>132</v>
      </c>
      <c r="K40" s="66" t="s">
        <v>132</v>
      </c>
      <c r="L40" s="66" t="s">
        <v>132</v>
      </c>
      <c r="M40" s="66" t="s">
        <v>132</v>
      </c>
      <c r="N40" s="66" t="s">
        <v>132</v>
      </c>
      <c r="O40" s="66" t="s">
        <v>132</v>
      </c>
      <c r="P40" s="66" t="s">
        <v>132</v>
      </c>
      <c r="Q40" s="66" t="s">
        <v>132</v>
      </c>
      <c r="R40" s="66" t="s">
        <v>132</v>
      </c>
      <c r="S40" s="84" t="s">
        <v>132</v>
      </c>
      <c r="T40" s="88">
        <v>1.2334487295057701E-3</v>
      </c>
    </row>
    <row r="41" spans="1:20" x14ac:dyDescent="0.2">
      <c r="A41" s="35" t="s">
        <v>32</v>
      </c>
      <c r="B41" s="40" t="s">
        <v>70</v>
      </c>
      <c r="C41" s="103" t="s">
        <v>132</v>
      </c>
      <c r="D41" s="104" t="s">
        <v>132</v>
      </c>
      <c r="E41" s="67" t="s">
        <v>132</v>
      </c>
      <c r="F41" s="67">
        <v>2.0228902026640799E-4</v>
      </c>
      <c r="G41" s="67" t="s">
        <v>132</v>
      </c>
      <c r="H41" s="67" t="s">
        <v>132</v>
      </c>
      <c r="I41" s="67">
        <v>6.1715294318565302E-5</v>
      </c>
      <c r="J41" s="67">
        <v>6.8572549242850299E-6</v>
      </c>
      <c r="K41" s="67">
        <v>3.7714902083567701E-5</v>
      </c>
      <c r="L41" s="67" t="s">
        <v>132</v>
      </c>
      <c r="M41" s="67" t="s">
        <v>132</v>
      </c>
      <c r="N41" s="67" t="s">
        <v>132</v>
      </c>
      <c r="O41" s="67" t="s">
        <v>132</v>
      </c>
      <c r="P41" s="67" t="s">
        <v>132</v>
      </c>
      <c r="Q41" s="67" t="s">
        <v>132</v>
      </c>
      <c r="R41" s="67" t="s">
        <v>132</v>
      </c>
      <c r="S41" s="85">
        <v>7.5944098286456702E-3</v>
      </c>
      <c r="T41" s="89">
        <v>7.9029863002384963E-3</v>
      </c>
    </row>
    <row r="42" spans="1:20" x14ac:dyDescent="0.2">
      <c r="A42" s="36" t="s">
        <v>23</v>
      </c>
      <c r="B42" s="39" t="s">
        <v>71</v>
      </c>
      <c r="C42" s="105" t="s">
        <v>132</v>
      </c>
      <c r="D42" s="106" t="s">
        <v>132</v>
      </c>
      <c r="E42" s="66" t="s">
        <v>132</v>
      </c>
      <c r="F42" s="66" t="s">
        <v>132</v>
      </c>
      <c r="G42" s="66" t="s">
        <v>132</v>
      </c>
      <c r="H42" s="66" t="s">
        <v>132</v>
      </c>
      <c r="I42" s="66" t="s">
        <v>132</v>
      </c>
      <c r="J42" s="66" t="s">
        <v>132</v>
      </c>
      <c r="K42" s="66" t="s">
        <v>132</v>
      </c>
      <c r="L42" s="66">
        <v>5.00922472219021E-3</v>
      </c>
      <c r="M42" s="66" t="s">
        <v>132</v>
      </c>
      <c r="N42" s="66" t="s">
        <v>132</v>
      </c>
      <c r="O42" s="66" t="s">
        <v>132</v>
      </c>
      <c r="P42" s="66" t="s">
        <v>132</v>
      </c>
      <c r="Q42" s="66" t="s">
        <v>132</v>
      </c>
      <c r="R42" s="66" t="s">
        <v>132</v>
      </c>
      <c r="S42" s="84" t="s">
        <v>132</v>
      </c>
      <c r="T42" s="88">
        <v>5.00922472219021E-3</v>
      </c>
    </row>
    <row r="43" spans="1:20" x14ac:dyDescent="0.2">
      <c r="A43" s="35" t="s">
        <v>24</v>
      </c>
      <c r="B43" s="40" t="s">
        <v>72</v>
      </c>
      <c r="C43" s="103" t="s">
        <v>132</v>
      </c>
      <c r="D43" s="104" t="s">
        <v>132</v>
      </c>
      <c r="E43" s="67" t="s">
        <v>132</v>
      </c>
      <c r="F43" s="67" t="s">
        <v>132</v>
      </c>
      <c r="G43" s="67" t="s">
        <v>132</v>
      </c>
      <c r="H43" s="67" t="s">
        <v>132</v>
      </c>
      <c r="I43" s="67" t="s">
        <v>132</v>
      </c>
      <c r="J43" s="67" t="s">
        <v>132</v>
      </c>
      <c r="K43" s="67" t="s">
        <v>132</v>
      </c>
      <c r="L43" s="67" t="s">
        <v>132</v>
      </c>
      <c r="M43" s="67" t="s">
        <v>132</v>
      </c>
      <c r="N43" s="67" t="s">
        <v>132</v>
      </c>
      <c r="O43" s="67" t="s">
        <v>132</v>
      </c>
      <c r="P43" s="67">
        <v>2.9118475879110799E-2</v>
      </c>
      <c r="Q43" s="67" t="s">
        <v>132</v>
      </c>
      <c r="R43" s="67" t="s">
        <v>132</v>
      </c>
      <c r="S43" s="85" t="s">
        <v>132</v>
      </c>
      <c r="T43" s="89">
        <v>2.9118475879110799E-2</v>
      </c>
    </row>
    <row r="44" spans="1:20" x14ac:dyDescent="0.2">
      <c r="A44" s="36" t="s">
        <v>25</v>
      </c>
      <c r="B44" s="39" t="s">
        <v>72</v>
      </c>
      <c r="C44" s="105" t="s">
        <v>132</v>
      </c>
      <c r="D44" s="106" t="s">
        <v>132</v>
      </c>
      <c r="E44" s="66" t="s">
        <v>132</v>
      </c>
      <c r="F44" s="66" t="s">
        <v>132</v>
      </c>
      <c r="G44" s="66" t="s">
        <v>132</v>
      </c>
      <c r="H44" s="66" t="s">
        <v>132</v>
      </c>
      <c r="I44" s="66" t="s">
        <v>132</v>
      </c>
      <c r="J44" s="66" t="s">
        <v>132</v>
      </c>
      <c r="K44" s="66" t="s">
        <v>132</v>
      </c>
      <c r="L44" s="66" t="s">
        <v>132</v>
      </c>
      <c r="M44" s="66" t="s">
        <v>132</v>
      </c>
      <c r="N44" s="66" t="s">
        <v>132</v>
      </c>
      <c r="O44" s="66" t="s">
        <v>132</v>
      </c>
      <c r="P44" s="66">
        <v>2.4129822921693501E-2</v>
      </c>
      <c r="Q44" s="66" t="s">
        <v>132</v>
      </c>
      <c r="R44" s="66" t="s">
        <v>132</v>
      </c>
      <c r="S44" s="84" t="s">
        <v>132</v>
      </c>
      <c r="T44" s="88">
        <v>2.4129822921693501E-2</v>
      </c>
    </row>
    <row r="45" spans="1:20" x14ac:dyDescent="0.2">
      <c r="A45" s="35" t="s">
        <v>78</v>
      </c>
      <c r="B45" s="40" t="s">
        <v>72</v>
      </c>
      <c r="C45" s="103" t="s">
        <v>132</v>
      </c>
      <c r="D45" s="104" t="s">
        <v>132</v>
      </c>
      <c r="E45" s="67" t="s">
        <v>132</v>
      </c>
      <c r="F45" s="67" t="s">
        <v>132</v>
      </c>
      <c r="G45" s="67" t="s">
        <v>132</v>
      </c>
      <c r="H45" s="67" t="s">
        <v>132</v>
      </c>
      <c r="I45" s="67" t="s">
        <v>132</v>
      </c>
      <c r="J45" s="67" t="s">
        <v>132</v>
      </c>
      <c r="K45" s="67" t="s">
        <v>132</v>
      </c>
      <c r="L45" s="67" t="s">
        <v>132</v>
      </c>
      <c r="M45" s="67" t="s">
        <v>132</v>
      </c>
      <c r="N45" s="67" t="s">
        <v>132</v>
      </c>
      <c r="O45" s="67" t="s">
        <v>132</v>
      </c>
      <c r="P45" s="67" t="s">
        <v>132</v>
      </c>
      <c r="Q45" s="67">
        <v>4.4229294261638414E-4</v>
      </c>
      <c r="R45" s="67" t="s">
        <v>132</v>
      </c>
      <c r="S45" s="85" t="s">
        <v>132</v>
      </c>
      <c r="T45" s="89">
        <v>4.4229294261638414E-4</v>
      </c>
    </row>
    <row r="46" spans="1:20" x14ac:dyDescent="0.2">
      <c r="A46" s="36" t="s">
        <v>26</v>
      </c>
      <c r="B46" s="39" t="s">
        <v>72</v>
      </c>
      <c r="C46" s="105" t="s">
        <v>132</v>
      </c>
      <c r="D46" s="106" t="s">
        <v>132</v>
      </c>
      <c r="E46" s="66" t="s">
        <v>132</v>
      </c>
      <c r="F46" s="66" t="s">
        <v>132</v>
      </c>
      <c r="G46" s="66" t="s">
        <v>132</v>
      </c>
      <c r="H46" s="66" t="s">
        <v>132</v>
      </c>
      <c r="I46" s="66" t="s">
        <v>132</v>
      </c>
      <c r="J46" s="66" t="s">
        <v>132</v>
      </c>
      <c r="K46" s="66" t="s">
        <v>132</v>
      </c>
      <c r="L46" s="66" t="s">
        <v>132</v>
      </c>
      <c r="M46" s="66" t="s">
        <v>132</v>
      </c>
      <c r="N46" s="66" t="s">
        <v>132</v>
      </c>
      <c r="O46" s="66" t="s">
        <v>132</v>
      </c>
      <c r="P46" s="66">
        <v>1.07350325839682E-2</v>
      </c>
      <c r="Q46" s="66" t="s">
        <v>132</v>
      </c>
      <c r="R46" s="66" t="s">
        <v>132</v>
      </c>
      <c r="S46" s="84" t="s">
        <v>132</v>
      </c>
      <c r="T46" s="88">
        <v>1.07350325839682E-2</v>
      </c>
    </row>
    <row r="47" spans="1:20" ht="13.5" thickBot="1" x14ac:dyDescent="0.25">
      <c r="A47" s="43" t="s">
        <v>27</v>
      </c>
      <c r="B47" s="42" t="s">
        <v>72</v>
      </c>
      <c r="C47" s="107" t="s">
        <v>132</v>
      </c>
      <c r="D47" s="108" t="s">
        <v>132</v>
      </c>
      <c r="E47" s="74" t="s">
        <v>132</v>
      </c>
      <c r="F47" s="74" t="s">
        <v>132</v>
      </c>
      <c r="G47" s="74" t="s">
        <v>132</v>
      </c>
      <c r="H47" s="74" t="s">
        <v>132</v>
      </c>
      <c r="I47" s="74" t="s">
        <v>132</v>
      </c>
      <c r="J47" s="74" t="s">
        <v>132</v>
      </c>
      <c r="K47" s="74" t="s">
        <v>132</v>
      </c>
      <c r="L47" s="74" t="s">
        <v>132</v>
      </c>
      <c r="M47" s="74" t="s">
        <v>132</v>
      </c>
      <c r="N47" s="74" t="s">
        <v>132</v>
      </c>
      <c r="O47" s="74" t="s">
        <v>132</v>
      </c>
      <c r="P47" s="74" t="s">
        <v>132</v>
      </c>
      <c r="Q47" s="74">
        <v>1.16847623909817E-2</v>
      </c>
      <c r="R47" s="74" t="s">
        <v>132</v>
      </c>
      <c r="S47" s="86" t="s">
        <v>132</v>
      </c>
      <c r="T47" s="75">
        <v>1.16847623909817E-2</v>
      </c>
    </row>
    <row r="48" spans="1:20" ht="14.25" thickTop="1" thickBot="1" x14ac:dyDescent="0.25">
      <c r="A48" s="34" t="s">
        <v>0</v>
      </c>
      <c r="B48" s="41"/>
      <c r="C48" s="101">
        <v>1.0769318858691821E-2</v>
      </c>
      <c r="D48" s="102" t="s">
        <v>132</v>
      </c>
      <c r="E48" s="73">
        <v>2.8046172640325776E-3</v>
      </c>
      <c r="F48" s="73">
        <v>2.8663325583511462E-3</v>
      </c>
      <c r="G48" s="73">
        <v>1.3054499062107629E-3</v>
      </c>
      <c r="H48" s="73">
        <v>2.9074760878968511E-4</v>
      </c>
      <c r="I48" s="73">
        <v>5.9983837450183226E-3</v>
      </c>
      <c r="J48" s="73">
        <v>5.4858039394280226E-5</v>
      </c>
      <c r="K48" s="73">
        <v>3.7783474625147032E-3</v>
      </c>
      <c r="L48" s="73">
        <v>9.6138714038476111E-3</v>
      </c>
      <c r="M48" s="73">
        <v>2.7429019697140116E-4</v>
      </c>
      <c r="N48" s="73">
        <v>3.7714902083567701E-5</v>
      </c>
      <c r="O48" s="73" t="s">
        <v>132</v>
      </c>
      <c r="P48" s="73">
        <v>6.3983331384772496E-2</v>
      </c>
      <c r="Q48" s="73">
        <v>1.2127055333598084E-2</v>
      </c>
      <c r="R48" s="73">
        <v>2.4000392234997602E-5</v>
      </c>
      <c r="S48" s="87">
        <v>2.3724044861548926E-2</v>
      </c>
      <c r="T48" s="90">
        <v>0.13765236391806041</v>
      </c>
    </row>
    <row r="51" spans="1:20" ht="15" x14ac:dyDescent="0.25">
      <c r="A51" s="100" t="s">
        <v>105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</row>
    <row r="52" spans="1:20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ht="13.5" thickBot="1" x14ac:dyDescent="0.25">
      <c r="A53" s="31" t="s">
        <v>133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ht="39" thickBot="1" x14ac:dyDescent="0.25">
      <c r="A54" s="38" t="s">
        <v>65</v>
      </c>
      <c r="B54" s="37" t="s">
        <v>73</v>
      </c>
      <c r="C54" s="45" t="s">
        <v>74</v>
      </c>
      <c r="D54" s="46" t="s">
        <v>75</v>
      </c>
      <c r="E54" s="32" t="s">
        <v>50</v>
      </c>
      <c r="F54" s="32" t="s">
        <v>51</v>
      </c>
      <c r="G54" s="32" t="s">
        <v>52</v>
      </c>
      <c r="H54" s="32" t="s">
        <v>53</v>
      </c>
      <c r="I54" s="32" t="s">
        <v>63</v>
      </c>
      <c r="J54" s="32" t="s">
        <v>54</v>
      </c>
      <c r="K54" s="32" t="s">
        <v>55</v>
      </c>
      <c r="L54" s="32" t="s">
        <v>56</v>
      </c>
      <c r="M54" s="32" t="s">
        <v>57</v>
      </c>
      <c r="N54" s="32" t="s">
        <v>58</v>
      </c>
      <c r="O54" s="32" t="s">
        <v>59</v>
      </c>
      <c r="P54" s="32" t="s">
        <v>60</v>
      </c>
      <c r="Q54" s="32" t="s">
        <v>61</v>
      </c>
      <c r="R54" s="32" t="s">
        <v>81</v>
      </c>
      <c r="S54" s="44" t="s">
        <v>62</v>
      </c>
      <c r="T54" s="33" t="s">
        <v>0</v>
      </c>
    </row>
    <row r="55" spans="1:20" x14ac:dyDescent="0.2">
      <c r="A55" s="36" t="s">
        <v>67</v>
      </c>
      <c r="B55" s="39" t="s">
        <v>68</v>
      </c>
      <c r="C55" s="93">
        <v>8.2459592424108469E-2</v>
      </c>
      <c r="D55" s="94">
        <v>8.1491816254963545E-3</v>
      </c>
      <c r="E55" s="66">
        <v>4.2790505667928871E-2</v>
      </c>
      <c r="F55" s="66">
        <v>3.5722039885240309E-2</v>
      </c>
      <c r="G55" s="66">
        <v>4.4786422314555831E-4</v>
      </c>
      <c r="H55" s="66">
        <v>1.5577886022454191E-4</v>
      </c>
      <c r="I55" s="66">
        <v>4.1758470718941242E-3</v>
      </c>
      <c r="J55" s="66" t="s">
        <v>132</v>
      </c>
      <c r="K55" s="66">
        <v>1.4604268146050809E-4</v>
      </c>
      <c r="L55" s="66" t="s">
        <v>132</v>
      </c>
      <c r="M55" s="66">
        <v>1.1488690941559964E-3</v>
      </c>
      <c r="N55" s="66">
        <v>1.4312182783129815E-3</v>
      </c>
      <c r="O55" s="66" t="s">
        <v>132</v>
      </c>
      <c r="P55" s="66" t="s">
        <v>132</v>
      </c>
      <c r="Q55" s="66" t="s">
        <v>132</v>
      </c>
      <c r="R55" s="66" t="s">
        <v>132</v>
      </c>
      <c r="S55" s="84">
        <v>1.3338564906726408E-3</v>
      </c>
      <c r="T55" s="88">
        <v>0.17796079630264031</v>
      </c>
    </row>
    <row r="56" spans="1:20" x14ac:dyDescent="0.2">
      <c r="A56" s="35" t="s">
        <v>19</v>
      </c>
      <c r="B56" s="40" t="s">
        <v>68</v>
      </c>
      <c r="C56" s="103">
        <v>9.7459149427979105E-3</v>
      </c>
      <c r="D56" s="104" t="s">
        <v>132</v>
      </c>
      <c r="E56" s="67" t="s">
        <v>132</v>
      </c>
      <c r="F56" s="67" t="s">
        <v>132</v>
      </c>
      <c r="G56" s="67" t="s">
        <v>132</v>
      </c>
      <c r="H56" s="67" t="s">
        <v>132</v>
      </c>
      <c r="I56" s="67" t="s">
        <v>132</v>
      </c>
      <c r="J56" s="67" t="s">
        <v>132</v>
      </c>
      <c r="K56" s="67" t="s">
        <v>132</v>
      </c>
      <c r="L56" s="67" t="s">
        <v>132</v>
      </c>
      <c r="M56" s="67" t="s">
        <v>132</v>
      </c>
      <c r="N56" s="67" t="s">
        <v>132</v>
      </c>
      <c r="O56" s="67" t="s">
        <v>132</v>
      </c>
      <c r="P56" s="67" t="s">
        <v>132</v>
      </c>
      <c r="Q56" s="67" t="s">
        <v>132</v>
      </c>
      <c r="R56" s="67" t="s">
        <v>132</v>
      </c>
      <c r="S56" s="85" t="s">
        <v>132</v>
      </c>
      <c r="T56" s="89">
        <v>9.7459149427979105E-3</v>
      </c>
    </row>
    <row r="57" spans="1:20" x14ac:dyDescent="0.2">
      <c r="A57" s="36" t="s">
        <v>21</v>
      </c>
      <c r="B57" s="39" t="s">
        <v>68</v>
      </c>
      <c r="C57" s="105">
        <v>3.8944715056135497E-5</v>
      </c>
      <c r="D57" s="106" t="s">
        <v>132</v>
      </c>
      <c r="E57" s="66">
        <v>1.07097966404373E-4</v>
      </c>
      <c r="F57" s="66">
        <v>3.6997479303328701E-4</v>
      </c>
      <c r="G57" s="66" t="s">
        <v>132</v>
      </c>
      <c r="H57" s="66">
        <v>9.7361787640338701E-4</v>
      </c>
      <c r="I57" s="66">
        <v>1.01743068084154E-2</v>
      </c>
      <c r="J57" s="66" t="s">
        <v>132</v>
      </c>
      <c r="K57" s="66" t="s">
        <v>132</v>
      </c>
      <c r="L57" s="66" t="s">
        <v>132</v>
      </c>
      <c r="M57" s="66">
        <v>2.9208536292101601E-5</v>
      </c>
      <c r="N57" s="66" t="s">
        <v>132</v>
      </c>
      <c r="O57" s="66" t="s">
        <v>132</v>
      </c>
      <c r="P57" s="66" t="s">
        <v>132</v>
      </c>
      <c r="Q57" s="66" t="s">
        <v>132</v>
      </c>
      <c r="R57" s="66" t="s">
        <v>132</v>
      </c>
      <c r="S57" s="84">
        <v>3.5537052488723601E-3</v>
      </c>
      <c r="T57" s="88">
        <v>1.5246855944477045E-2</v>
      </c>
    </row>
    <row r="58" spans="1:20" x14ac:dyDescent="0.2">
      <c r="A58" s="35" t="s">
        <v>22</v>
      </c>
      <c r="B58" s="40" t="s">
        <v>68</v>
      </c>
      <c r="C58" s="103" t="s">
        <v>132</v>
      </c>
      <c r="D58" s="104" t="s">
        <v>132</v>
      </c>
      <c r="E58" s="67" t="s">
        <v>132</v>
      </c>
      <c r="F58" s="67" t="s">
        <v>132</v>
      </c>
      <c r="G58" s="67" t="s">
        <v>132</v>
      </c>
      <c r="H58" s="67" t="s">
        <v>132</v>
      </c>
      <c r="I58" s="67" t="s">
        <v>132</v>
      </c>
      <c r="J58" s="67" t="s">
        <v>132</v>
      </c>
      <c r="K58" s="67">
        <v>3.0084792377963101E-3</v>
      </c>
      <c r="L58" s="67" t="s">
        <v>132</v>
      </c>
      <c r="M58" s="67" t="s">
        <v>132</v>
      </c>
      <c r="N58" s="67" t="s">
        <v>132</v>
      </c>
      <c r="O58" s="67" t="s">
        <v>132</v>
      </c>
      <c r="P58" s="67" t="s">
        <v>132</v>
      </c>
      <c r="Q58" s="67" t="s">
        <v>132</v>
      </c>
      <c r="R58" s="67" t="s">
        <v>132</v>
      </c>
      <c r="S58" s="85" t="s">
        <v>132</v>
      </c>
      <c r="T58" s="89">
        <v>3.0084792377963101E-3</v>
      </c>
    </row>
    <row r="59" spans="1:20" x14ac:dyDescent="0.2">
      <c r="A59" s="36" t="s">
        <v>69</v>
      </c>
      <c r="B59" s="39" t="s">
        <v>68</v>
      </c>
      <c r="C59" s="105" t="s">
        <v>132</v>
      </c>
      <c r="D59" s="106" t="s">
        <v>132</v>
      </c>
      <c r="E59" s="66">
        <v>1.9472357528067701E-5</v>
      </c>
      <c r="F59" s="66">
        <v>4.5760040190959199E-4</v>
      </c>
      <c r="G59" s="66">
        <v>2.9208536292101601E-5</v>
      </c>
      <c r="H59" s="66">
        <v>4.0891950808942301E-4</v>
      </c>
      <c r="I59" s="66">
        <v>2.6287682662891501E-3</v>
      </c>
      <c r="J59" s="66" t="s">
        <v>132</v>
      </c>
      <c r="K59" s="66" t="s">
        <v>132</v>
      </c>
      <c r="L59" s="66" t="s">
        <v>132</v>
      </c>
      <c r="M59" s="66">
        <v>2.43404469100847E-4</v>
      </c>
      <c r="N59" s="66" t="s">
        <v>132</v>
      </c>
      <c r="O59" s="66" t="s">
        <v>132</v>
      </c>
      <c r="P59" s="66" t="s">
        <v>132</v>
      </c>
      <c r="Q59" s="66" t="s">
        <v>132</v>
      </c>
      <c r="R59" s="66">
        <v>1.9472357528067701E-5</v>
      </c>
      <c r="S59" s="84">
        <v>4.8096723094327304E-3</v>
      </c>
      <c r="T59" s="88">
        <v>8.6165182061699805E-3</v>
      </c>
    </row>
    <row r="60" spans="1:20" x14ac:dyDescent="0.2">
      <c r="A60" s="35" t="s">
        <v>77</v>
      </c>
      <c r="B60" s="40" t="s">
        <v>70</v>
      </c>
      <c r="C60" s="103">
        <v>3.2129389921311798E-4</v>
      </c>
      <c r="D60" s="104" t="s">
        <v>132</v>
      </c>
      <c r="E60" s="67" t="s">
        <v>132</v>
      </c>
      <c r="F60" s="67" t="s">
        <v>132</v>
      </c>
      <c r="G60" s="67" t="s">
        <v>132</v>
      </c>
      <c r="H60" s="67" t="s">
        <v>132</v>
      </c>
      <c r="I60" s="67">
        <v>9.5414551887531901E-4</v>
      </c>
      <c r="J60" s="67" t="s">
        <v>132</v>
      </c>
      <c r="K60" s="67">
        <v>1.5188438871892799E-3</v>
      </c>
      <c r="L60" s="67">
        <v>3.9918332932538901E-4</v>
      </c>
      <c r="M60" s="67">
        <v>6.8153251348237101E-5</v>
      </c>
      <c r="N60" s="67" t="s">
        <v>132</v>
      </c>
      <c r="O60" s="67" t="s">
        <v>132</v>
      </c>
      <c r="P60" s="67" t="s">
        <v>132</v>
      </c>
      <c r="Q60" s="67" t="s">
        <v>132</v>
      </c>
      <c r="R60" s="67" t="s">
        <v>132</v>
      </c>
      <c r="S60" s="85">
        <v>7.8863047988674397E-4</v>
      </c>
      <c r="T60" s="89">
        <v>4.0502503658380873E-3</v>
      </c>
    </row>
    <row r="61" spans="1:20" x14ac:dyDescent="0.2">
      <c r="A61" s="36" t="s">
        <v>28</v>
      </c>
      <c r="B61" s="39" t="s">
        <v>70</v>
      </c>
      <c r="C61" s="105" t="s">
        <v>132</v>
      </c>
      <c r="D61" s="106" t="s">
        <v>132</v>
      </c>
      <c r="E61" s="66" t="s">
        <v>132</v>
      </c>
      <c r="F61" s="66" t="s">
        <v>132</v>
      </c>
      <c r="G61" s="66" t="s">
        <v>132</v>
      </c>
      <c r="H61" s="66" t="s">
        <v>132</v>
      </c>
      <c r="I61" s="66" t="s">
        <v>132</v>
      </c>
      <c r="J61" s="66" t="s">
        <v>132</v>
      </c>
      <c r="K61" s="66" t="s">
        <v>132</v>
      </c>
      <c r="L61" s="66" t="s">
        <v>132</v>
      </c>
      <c r="M61" s="66" t="s">
        <v>132</v>
      </c>
      <c r="N61" s="66" t="s">
        <v>132</v>
      </c>
      <c r="O61" s="66" t="s">
        <v>132</v>
      </c>
      <c r="P61" s="66" t="s">
        <v>132</v>
      </c>
      <c r="Q61" s="66" t="s">
        <v>132</v>
      </c>
      <c r="R61" s="66" t="s">
        <v>132</v>
      </c>
      <c r="S61" s="84">
        <v>3.4076625674118598E-3</v>
      </c>
      <c r="T61" s="88">
        <v>3.4076625674118598E-3</v>
      </c>
    </row>
    <row r="62" spans="1:20" x14ac:dyDescent="0.2">
      <c r="A62" s="35" t="s">
        <v>29</v>
      </c>
      <c r="B62" s="40" t="s">
        <v>70</v>
      </c>
      <c r="C62" s="103" t="s">
        <v>132</v>
      </c>
      <c r="D62" s="104" t="s">
        <v>132</v>
      </c>
      <c r="E62" s="67" t="s">
        <v>132</v>
      </c>
      <c r="F62" s="67" t="s">
        <v>132</v>
      </c>
      <c r="G62" s="67" t="s">
        <v>132</v>
      </c>
      <c r="H62" s="67" t="s">
        <v>132</v>
      </c>
      <c r="I62" s="67">
        <v>5.0628129572976102E-4</v>
      </c>
      <c r="J62" s="67" t="s">
        <v>132</v>
      </c>
      <c r="K62" s="67" t="s">
        <v>132</v>
      </c>
      <c r="L62" s="67" t="s">
        <v>132</v>
      </c>
      <c r="M62" s="67" t="s">
        <v>132</v>
      </c>
      <c r="N62" s="67" t="s">
        <v>132</v>
      </c>
      <c r="O62" s="67" t="s">
        <v>132</v>
      </c>
      <c r="P62" s="67" t="s">
        <v>132</v>
      </c>
      <c r="Q62" s="67" t="s">
        <v>132</v>
      </c>
      <c r="R62" s="67" t="s">
        <v>132</v>
      </c>
      <c r="S62" s="85">
        <v>3.4563434612320202E-3</v>
      </c>
      <c r="T62" s="89">
        <v>3.9626247569617811E-3</v>
      </c>
    </row>
    <row r="63" spans="1:20" x14ac:dyDescent="0.2">
      <c r="A63" s="36" t="s">
        <v>30</v>
      </c>
      <c r="B63" s="39" t="s">
        <v>70</v>
      </c>
      <c r="C63" s="105" t="s">
        <v>132</v>
      </c>
      <c r="D63" s="106" t="s">
        <v>132</v>
      </c>
      <c r="E63" s="66" t="s">
        <v>132</v>
      </c>
      <c r="F63" s="66">
        <v>3.9334162206696799E-3</v>
      </c>
      <c r="G63" s="66" t="s">
        <v>132</v>
      </c>
      <c r="H63" s="66">
        <v>1.07097966404373E-4</v>
      </c>
      <c r="I63" s="66">
        <v>3.0571601319066399E-3</v>
      </c>
      <c r="J63" s="66" t="s">
        <v>132</v>
      </c>
      <c r="K63" s="66" t="s">
        <v>132</v>
      </c>
      <c r="L63" s="66" t="s">
        <v>132</v>
      </c>
      <c r="M63" s="66" t="s">
        <v>132</v>
      </c>
      <c r="N63" s="66" t="s">
        <v>132</v>
      </c>
      <c r="O63" s="66" t="s">
        <v>132</v>
      </c>
      <c r="P63" s="66" t="s">
        <v>132</v>
      </c>
      <c r="Q63" s="66" t="s">
        <v>132</v>
      </c>
      <c r="R63" s="66" t="s">
        <v>132</v>
      </c>
      <c r="S63" s="84">
        <v>1.1031090539650399E-2</v>
      </c>
      <c r="T63" s="88">
        <v>1.8128764858631092E-2</v>
      </c>
    </row>
    <row r="64" spans="1:20" x14ac:dyDescent="0.2">
      <c r="A64" s="35" t="s">
        <v>31</v>
      </c>
      <c r="B64" s="40" t="s">
        <v>70</v>
      </c>
      <c r="C64" s="103">
        <v>5.8417072584203201E-5</v>
      </c>
      <c r="D64" s="104" t="s">
        <v>132</v>
      </c>
      <c r="E64" s="67">
        <v>4.7707275943765999E-4</v>
      </c>
      <c r="F64" s="67">
        <v>5.1601747449379497E-4</v>
      </c>
      <c r="G64" s="67" t="s">
        <v>132</v>
      </c>
      <c r="H64" s="67" t="s">
        <v>132</v>
      </c>
      <c r="I64" s="67">
        <v>8.7625608876304805E-5</v>
      </c>
      <c r="J64" s="67" t="s">
        <v>132</v>
      </c>
      <c r="K64" s="67" t="s">
        <v>132</v>
      </c>
      <c r="L64" s="67" t="s">
        <v>132</v>
      </c>
      <c r="M64" s="67" t="s">
        <v>132</v>
      </c>
      <c r="N64" s="67" t="s">
        <v>132</v>
      </c>
      <c r="O64" s="67" t="s">
        <v>132</v>
      </c>
      <c r="P64" s="67" t="s">
        <v>132</v>
      </c>
      <c r="Q64" s="67" t="s">
        <v>132</v>
      </c>
      <c r="R64" s="67" t="s">
        <v>132</v>
      </c>
      <c r="S64" s="85">
        <v>1.28517559685247E-3</v>
      </c>
      <c r="T64" s="89">
        <v>2.4243085122444327E-3</v>
      </c>
    </row>
    <row r="65" spans="1:20" x14ac:dyDescent="0.2">
      <c r="A65" s="36" t="s">
        <v>20</v>
      </c>
      <c r="B65" s="39" t="s">
        <v>70</v>
      </c>
      <c r="C65" s="105" t="s">
        <v>132</v>
      </c>
      <c r="D65" s="106" t="s">
        <v>132</v>
      </c>
      <c r="E65" s="66" t="s">
        <v>132</v>
      </c>
      <c r="F65" s="66" t="s">
        <v>132</v>
      </c>
      <c r="G65" s="66">
        <v>4.8680893820169399E-4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 t="s">
        <v>132</v>
      </c>
      <c r="M65" s="66" t="s">
        <v>132</v>
      </c>
      <c r="N65" s="66" t="s">
        <v>132</v>
      </c>
      <c r="O65" s="66" t="s">
        <v>132</v>
      </c>
      <c r="P65" s="66" t="s">
        <v>132</v>
      </c>
      <c r="Q65" s="66" t="s">
        <v>132</v>
      </c>
      <c r="R65" s="66" t="s">
        <v>132</v>
      </c>
      <c r="S65" s="84" t="s">
        <v>132</v>
      </c>
      <c r="T65" s="88">
        <v>4.8680893820169399E-4</v>
      </c>
    </row>
    <row r="66" spans="1:20" x14ac:dyDescent="0.2">
      <c r="A66" s="35" t="s">
        <v>32</v>
      </c>
      <c r="B66" s="40" t="s">
        <v>70</v>
      </c>
      <c r="C66" s="103">
        <v>2.9208536292101601E-5</v>
      </c>
      <c r="D66" s="104" t="s">
        <v>132</v>
      </c>
      <c r="E66" s="67" t="s">
        <v>132</v>
      </c>
      <c r="F66" s="67">
        <v>1.16834145168406E-4</v>
      </c>
      <c r="G66" s="67" t="s">
        <v>132</v>
      </c>
      <c r="H66" s="67" t="s">
        <v>132</v>
      </c>
      <c r="I66" s="67">
        <v>1.04177112775162E-3</v>
      </c>
      <c r="J66" s="67" t="s">
        <v>132</v>
      </c>
      <c r="K66" s="67">
        <v>6.8153251348237101E-5</v>
      </c>
      <c r="L66" s="67" t="s">
        <v>132</v>
      </c>
      <c r="M66" s="67">
        <v>4.8680893820169403E-5</v>
      </c>
      <c r="N66" s="67" t="s">
        <v>132</v>
      </c>
      <c r="O66" s="67" t="s">
        <v>132</v>
      </c>
      <c r="P66" s="67" t="s">
        <v>132</v>
      </c>
      <c r="Q66" s="67" t="s">
        <v>132</v>
      </c>
      <c r="R66" s="67" t="s">
        <v>132</v>
      </c>
      <c r="S66" s="85">
        <v>1.70577851945873E-2</v>
      </c>
      <c r="T66" s="89">
        <v>1.8362433148967836E-2</v>
      </c>
    </row>
    <row r="67" spans="1:20" x14ac:dyDescent="0.2">
      <c r="A67" s="36" t="s">
        <v>23</v>
      </c>
      <c r="B67" s="39" t="s">
        <v>71</v>
      </c>
      <c r="C67" s="105" t="s">
        <v>132</v>
      </c>
      <c r="D67" s="106" t="s">
        <v>132</v>
      </c>
      <c r="E67" s="66" t="s">
        <v>132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 t="s">
        <v>132</v>
      </c>
      <c r="K67" s="66" t="s">
        <v>132</v>
      </c>
      <c r="L67" s="66">
        <v>1.14400100477398E-3</v>
      </c>
      <c r="M67" s="66" t="s">
        <v>132</v>
      </c>
      <c r="N67" s="66" t="s">
        <v>132</v>
      </c>
      <c r="O67" s="66" t="s">
        <v>132</v>
      </c>
      <c r="P67" s="66" t="s">
        <v>132</v>
      </c>
      <c r="Q67" s="66" t="s">
        <v>132</v>
      </c>
      <c r="R67" s="66" t="s">
        <v>132</v>
      </c>
      <c r="S67" s="84" t="s">
        <v>132</v>
      </c>
      <c r="T67" s="88">
        <v>1.14400100477398E-3</v>
      </c>
    </row>
    <row r="68" spans="1:20" x14ac:dyDescent="0.2">
      <c r="A68" s="35" t="s">
        <v>24</v>
      </c>
      <c r="B68" s="40" t="s">
        <v>72</v>
      </c>
      <c r="C68" s="103" t="s">
        <v>132</v>
      </c>
      <c r="D68" s="104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 t="s">
        <v>132</v>
      </c>
      <c r="M68" s="67" t="s">
        <v>132</v>
      </c>
      <c r="N68" s="67" t="s">
        <v>132</v>
      </c>
      <c r="O68" s="67" t="s">
        <v>132</v>
      </c>
      <c r="P68" s="67">
        <v>1.17788290687282E-2</v>
      </c>
      <c r="Q68" s="67" t="s">
        <v>132</v>
      </c>
      <c r="R68" s="67" t="s">
        <v>132</v>
      </c>
      <c r="S68" s="85" t="s">
        <v>132</v>
      </c>
      <c r="T68" s="89">
        <v>1.17788290687282E-2</v>
      </c>
    </row>
    <row r="69" spans="1:20" x14ac:dyDescent="0.2">
      <c r="A69" s="36" t="s">
        <v>25</v>
      </c>
      <c r="B69" s="39" t="s">
        <v>72</v>
      </c>
      <c r="C69" s="105" t="s">
        <v>132</v>
      </c>
      <c r="D69" s="106" t="s">
        <v>132</v>
      </c>
      <c r="E69" s="66" t="s">
        <v>132</v>
      </c>
      <c r="F69" s="66" t="s">
        <v>132</v>
      </c>
      <c r="G69" s="66" t="s">
        <v>132</v>
      </c>
      <c r="H69" s="66" t="s">
        <v>132</v>
      </c>
      <c r="I69" s="66" t="s">
        <v>132</v>
      </c>
      <c r="J69" s="66" t="s">
        <v>132</v>
      </c>
      <c r="K69" s="66" t="s">
        <v>132</v>
      </c>
      <c r="L69" s="66" t="s">
        <v>132</v>
      </c>
      <c r="M69" s="66" t="s">
        <v>132</v>
      </c>
      <c r="N69" s="66" t="s">
        <v>132</v>
      </c>
      <c r="O69" s="66" t="s">
        <v>132</v>
      </c>
      <c r="P69" s="66">
        <v>3.1212241881739801E-2</v>
      </c>
      <c r="Q69" s="66" t="s">
        <v>132</v>
      </c>
      <c r="R69" s="66" t="s">
        <v>132</v>
      </c>
      <c r="S69" s="84" t="s">
        <v>132</v>
      </c>
      <c r="T69" s="88">
        <v>3.1212241881739801E-2</v>
      </c>
    </row>
    <row r="70" spans="1:20" x14ac:dyDescent="0.2">
      <c r="A70" s="35" t="s">
        <v>78</v>
      </c>
      <c r="B70" s="40" t="s">
        <v>72</v>
      </c>
      <c r="C70" s="103" t="s">
        <v>132</v>
      </c>
      <c r="D70" s="104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67" t="s">
        <v>132</v>
      </c>
      <c r="Q70" s="67">
        <v>1.5577886022454234E-4</v>
      </c>
      <c r="R70" s="67" t="s">
        <v>132</v>
      </c>
      <c r="S70" s="85" t="s">
        <v>132</v>
      </c>
      <c r="T70" s="89">
        <v>1.5577886022454234E-4</v>
      </c>
    </row>
    <row r="71" spans="1:20" x14ac:dyDescent="0.2">
      <c r="A71" s="36" t="s">
        <v>26</v>
      </c>
      <c r="B71" s="39" t="s">
        <v>72</v>
      </c>
      <c r="C71" s="105" t="s">
        <v>132</v>
      </c>
      <c r="D71" s="106" t="s">
        <v>132</v>
      </c>
      <c r="E71" s="66" t="s">
        <v>132</v>
      </c>
      <c r="F71" s="66" t="s">
        <v>132</v>
      </c>
      <c r="G71" s="66" t="s">
        <v>132</v>
      </c>
      <c r="H71" s="66" t="s">
        <v>132</v>
      </c>
      <c r="I71" s="66" t="s">
        <v>132</v>
      </c>
      <c r="J71" s="66" t="s">
        <v>132</v>
      </c>
      <c r="K71" s="66" t="s">
        <v>132</v>
      </c>
      <c r="L71" s="66" t="s">
        <v>132</v>
      </c>
      <c r="M71" s="66" t="s">
        <v>132</v>
      </c>
      <c r="N71" s="66" t="s">
        <v>132</v>
      </c>
      <c r="O71" s="66" t="s">
        <v>132</v>
      </c>
      <c r="P71" s="66">
        <v>3.71922028786094E-3</v>
      </c>
      <c r="Q71" s="66" t="s">
        <v>132</v>
      </c>
      <c r="R71" s="66" t="s">
        <v>132</v>
      </c>
      <c r="S71" s="84" t="s">
        <v>132</v>
      </c>
      <c r="T71" s="88">
        <v>3.71922028786094E-3</v>
      </c>
    </row>
    <row r="72" spans="1:20" ht="13.5" thickBot="1" x14ac:dyDescent="0.25">
      <c r="A72" s="43" t="s">
        <v>27</v>
      </c>
      <c r="B72" s="42" t="s">
        <v>72</v>
      </c>
      <c r="C72" s="107" t="s">
        <v>132</v>
      </c>
      <c r="D72" s="108" t="s">
        <v>132</v>
      </c>
      <c r="E72" s="74" t="s">
        <v>132</v>
      </c>
      <c r="F72" s="74" t="s">
        <v>132</v>
      </c>
      <c r="G72" s="74" t="s">
        <v>132</v>
      </c>
      <c r="H72" s="74" t="s">
        <v>132</v>
      </c>
      <c r="I72" s="74" t="s">
        <v>132</v>
      </c>
      <c r="J72" s="74" t="s">
        <v>132</v>
      </c>
      <c r="K72" s="74" t="s">
        <v>132</v>
      </c>
      <c r="L72" s="74" t="s">
        <v>132</v>
      </c>
      <c r="M72" s="74" t="s">
        <v>132</v>
      </c>
      <c r="N72" s="74" t="s">
        <v>132</v>
      </c>
      <c r="O72" s="74" t="s">
        <v>132</v>
      </c>
      <c r="P72" s="74" t="s">
        <v>132</v>
      </c>
      <c r="Q72" s="74">
        <v>2.4437808697725001E-3</v>
      </c>
      <c r="R72" s="74" t="s">
        <v>132</v>
      </c>
      <c r="S72" s="86" t="s">
        <v>132</v>
      </c>
      <c r="T72" s="75">
        <v>2.4437808697725001E-3</v>
      </c>
    </row>
    <row r="73" spans="1:20" ht="14.25" thickTop="1" thickBot="1" x14ac:dyDescent="0.25">
      <c r="A73" s="34" t="s">
        <v>0</v>
      </c>
      <c r="B73" s="41"/>
      <c r="C73" s="101">
        <v>0.1008025532155483</v>
      </c>
      <c r="D73" s="102" t="s">
        <v>132</v>
      </c>
      <c r="E73" s="73">
        <v>4.3394148751298975E-2</v>
      </c>
      <c r="F73" s="73">
        <v>4.1115882920515066E-2</v>
      </c>
      <c r="G73" s="73">
        <v>9.6388169763935393E-4</v>
      </c>
      <c r="H73" s="73">
        <v>1.6454142111217249E-3</v>
      </c>
      <c r="I73" s="73">
        <v>2.2625905829738314E-2</v>
      </c>
      <c r="J73" s="73" t="s">
        <v>132</v>
      </c>
      <c r="K73" s="73">
        <v>4.7415190577943349E-3</v>
      </c>
      <c r="L73" s="73">
        <v>1.543184334099369E-3</v>
      </c>
      <c r="M73" s="73">
        <v>1.5383162447173515E-3</v>
      </c>
      <c r="N73" s="73">
        <v>1.4312182783129815E-3</v>
      </c>
      <c r="O73" s="73" t="s">
        <v>132</v>
      </c>
      <c r="P73" s="73">
        <v>4.6710291238328941E-2</v>
      </c>
      <c r="Q73" s="73">
        <v>2.5995597299970424E-3</v>
      </c>
      <c r="R73" s="73">
        <v>1.9472357528067701E-5</v>
      </c>
      <c r="S73" s="87">
        <v>4.672392188859853E-2</v>
      </c>
      <c r="T73" s="90">
        <v>0.31585526975523831</v>
      </c>
    </row>
    <row r="76" spans="1:20" ht="15" x14ac:dyDescent="0.25">
      <c r="A76" s="100" t="s">
        <v>107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</row>
    <row r="77" spans="1:20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3.5" thickBot="1" x14ac:dyDescent="0.25">
      <c r="A78" s="31" t="s">
        <v>133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ht="39" thickBot="1" x14ac:dyDescent="0.25">
      <c r="A79" s="38" t="s">
        <v>65</v>
      </c>
      <c r="B79" s="37" t="s">
        <v>73</v>
      </c>
      <c r="C79" s="45" t="s">
        <v>74</v>
      </c>
      <c r="D79" s="46" t="s">
        <v>75</v>
      </c>
      <c r="E79" s="32" t="s">
        <v>50</v>
      </c>
      <c r="F79" s="32" t="s">
        <v>51</v>
      </c>
      <c r="G79" s="32" t="s">
        <v>52</v>
      </c>
      <c r="H79" s="32" t="s">
        <v>53</v>
      </c>
      <c r="I79" s="32" t="s">
        <v>63</v>
      </c>
      <c r="J79" s="32" t="s">
        <v>54</v>
      </c>
      <c r="K79" s="32" t="s">
        <v>55</v>
      </c>
      <c r="L79" s="32" t="s">
        <v>56</v>
      </c>
      <c r="M79" s="32" t="s">
        <v>57</v>
      </c>
      <c r="N79" s="32" t="s">
        <v>58</v>
      </c>
      <c r="O79" s="32" t="s">
        <v>59</v>
      </c>
      <c r="P79" s="32" t="s">
        <v>60</v>
      </c>
      <c r="Q79" s="32" t="s">
        <v>61</v>
      </c>
      <c r="R79" s="32" t="s">
        <v>81</v>
      </c>
      <c r="S79" s="44" t="s">
        <v>62</v>
      </c>
      <c r="T79" s="33" t="s">
        <v>0</v>
      </c>
    </row>
    <row r="80" spans="1:20" x14ac:dyDescent="0.2">
      <c r="A80" s="36" t="s">
        <v>67</v>
      </c>
      <c r="B80" s="39" t="s">
        <v>68</v>
      </c>
      <c r="C80" s="93">
        <v>1.3428880060916961E-3</v>
      </c>
      <c r="D80" s="94">
        <v>1.9184114372738513E-4</v>
      </c>
      <c r="E80" s="66">
        <v>4.7222435379048555E-4</v>
      </c>
      <c r="F80" s="66">
        <v>3.246542432309591E-4</v>
      </c>
      <c r="G80" s="66" t="s">
        <v>132</v>
      </c>
      <c r="H80" s="66" t="s">
        <v>132</v>
      </c>
      <c r="I80" s="66">
        <v>2.9514022111905401E-5</v>
      </c>
      <c r="J80" s="66" t="s">
        <v>132</v>
      </c>
      <c r="K80" s="66" t="s">
        <v>132</v>
      </c>
      <c r="L80" s="66" t="s">
        <v>132</v>
      </c>
      <c r="M80" s="66">
        <v>1.4757011055952701E-5</v>
      </c>
      <c r="N80" s="66" t="s">
        <v>132</v>
      </c>
      <c r="O80" s="66" t="s">
        <v>132</v>
      </c>
      <c r="P80" s="66" t="s">
        <v>132</v>
      </c>
      <c r="Q80" s="66" t="s">
        <v>132</v>
      </c>
      <c r="R80" s="66" t="s">
        <v>132</v>
      </c>
      <c r="S80" s="84">
        <v>2.9514022111905401E-5</v>
      </c>
      <c r="T80" s="88">
        <v>2.4053928021202891E-3</v>
      </c>
    </row>
    <row r="81" spans="1:20" x14ac:dyDescent="0.2">
      <c r="A81" s="35" t="s">
        <v>19</v>
      </c>
      <c r="B81" s="40" t="s">
        <v>68</v>
      </c>
      <c r="C81" s="103">
        <v>2.6562619900714798E-4</v>
      </c>
      <c r="D81" s="104" t="s">
        <v>132</v>
      </c>
      <c r="E81" s="67" t="s">
        <v>132</v>
      </c>
      <c r="F81" s="67" t="s">
        <v>132</v>
      </c>
      <c r="G81" s="67" t="s">
        <v>132</v>
      </c>
      <c r="H81" s="67" t="s">
        <v>132</v>
      </c>
      <c r="I81" s="67" t="s">
        <v>132</v>
      </c>
      <c r="J81" s="67" t="s">
        <v>132</v>
      </c>
      <c r="K81" s="67" t="s">
        <v>132</v>
      </c>
      <c r="L81" s="67" t="s">
        <v>132</v>
      </c>
      <c r="M81" s="67" t="s">
        <v>132</v>
      </c>
      <c r="N81" s="67" t="s">
        <v>132</v>
      </c>
      <c r="O81" s="67" t="s">
        <v>132</v>
      </c>
      <c r="P81" s="67" t="s">
        <v>132</v>
      </c>
      <c r="Q81" s="67" t="s">
        <v>132</v>
      </c>
      <c r="R81" s="67" t="s">
        <v>132</v>
      </c>
      <c r="S81" s="85" t="s">
        <v>132</v>
      </c>
      <c r="T81" s="89">
        <v>2.6562619900714798E-4</v>
      </c>
    </row>
    <row r="82" spans="1:20" x14ac:dyDescent="0.2">
      <c r="A82" s="36" t="s">
        <v>21</v>
      </c>
      <c r="B82" s="39" t="s">
        <v>68</v>
      </c>
      <c r="C82" s="105" t="s">
        <v>132</v>
      </c>
      <c r="D82" s="106" t="s">
        <v>132</v>
      </c>
      <c r="E82" s="66" t="s">
        <v>132</v>
      </c>
      <c r="F82" s="66">
        <v>1.4757011055952701E-5</v>
      </c>
      <c r="G82" s="66" t="s">
        <v>132</v>
      </c>
      <c r="H82" s="66">
        <v>2.9514022111905401E-5</v>
      </c>
      <c r="I82" s="66">
        <v>1.03299077391669E-4</v>
      </c>
      <c r="J82" s="66" t="s">
        <v>132</v>
      </c>
      <c r="K82" s="66" t="s">
        <v>132</v>
      </c>
      <c r="L82" s="66" t="s">
        <v>132</v>
      </c>
      <c r="M82" s="66">
        <v>4.4271033167858098E-5</v>
      </c>
      <c r="N82" s="66" t="s">
        <v>132</v>
      </c>
      <c r="O82" s="66" t="s">
        <v>132</v>
      </c>
      <c r="P82" s="66" t="s">
        <v>132</v>
      </c>
      <c r="Q82" s="66" t="s">
        <v>132</v>
      </c>
      <c r="R82" s="66" t="s">
        <v>132</v>
      </c>
      <c r="S82" s="84">
        <v>7.3785055279763405E-5</v>
      </c>
      <c r="T82" s="88">
        <v>2.6562619900714863E-4</v>
      </c>
    </row>
    <row r="83" spans="1:20" x14ac:dyDescent="0.2">
      <c r="A83" s="35" t="s">
        <v>22</v>
      </c>
      <c r="B83" s="40" t="s">
        <v>68</v>
      </c>
      <c r="C83" s="103" t="s">
        <v>132</v>
      </c>
      <c r="D83" s="104" t="s">
        <v>132</v>
      </c>
      <c r="E83" s="67" t="s">
        <v>132</v>
      </c>
      <c r="F83" s="67" t="s">
        <v>132</v>
      </c>
      <c r="G83" s="67" t="s">
        <v>132</v>
      </c>
      <c r="H83" s="67" t="s">
        <v>132</v>
      </c>
      <c r="I83" s="67" t="s">
        <v>132</v>
      </c>
      <c r="J83" s="67" t="s">
        <v>132</v>
      </c>
      <c r="K83" s="67">
        <v>1.3281309950357399E-4</v>
      </c>
      <c r="L83" s="67" t="s">
        <v>132</v>
      </c>
      <c r="M83" s="67" t="s">
        <v>132</v>
      </c>
      <c r="N83" s="67" t="s">
        <v>132</v>
      </c>
      <c r="O83" s="67" t="s">
        <v>132</v>
      </c>
      <c r="P83" s="67" t="s">
        <v>132</v>
      </c>
      <c r="Q83" s="67" t="s">
        <v>132</v>
      </c>
      <c r="R83" s="67" t="s">
        <v>132</v>
      </c>
      <c r="S83" s="85" t="s">
        <v>132</v>
      </c>
      <c r="T83" s="89">
        <v>1.3281309950357399E-4</v>
      </c>
    </row>
    <row r="84" spans="1:20" x14ac:dyDescent="0.2">
      <c r="A84" s="36" t="s">
        <v>69</v>
      </c>
      <c r="B84" s="39" t="s">
        <v>68</v>
      </c>
      <c r="C84" s="105" t="s">
        <v>132</v>
      </c>
      <c r="D84" s="106" t="s">
        <v>132</v>
      </c>
      <c r="E84" s="66" t="s">
        <v>132</v>
      </c>
      <c r="F84" s="66" t="s">
        <v>132</v>
      </c>
      <c r="G84" s="66" t="s">
        <v>132</v>
      </c>
      <c r="H84" s="66" t="s">
        <v>132</v>
      </c>
      <c r="I84" s="66">
        <v>2.3611217689524299E-4</v>
      </c>
      <c r="J84" s="66" t="s">
        <v>132</v>
      </c>
      <c r="K84" s="66" t="s">
        <v>132</v>
      </c>
      <c r="L84" s="66" t="s">
        <v>132</v>
      </c>
      <c r="M84" s="66" t="s">
        <v>132</v>
      </c>
      <c r="N84" s="66" t="s">
        <v>132</v>
      </c>
      <c r="O84" s="66" t="s">
        <v>132</v>
      </c>
      <c r="P84" s="66" t="s">
        <v>132</v>
      </c>
      <c r="Q84" s="66" t="s">
        <v>132</v>
      </c>
      <c r="R84" s="66" t="s">
        <v>132</v>
      </c>
      <c r="S84" s="84">
        <v>6.4930848646191797E-4</v>
      </c>
      <c r="T84" s="88">
        <v>8.8542066335716091E-4</v>
      </c>
    </row>
    <row r="85" spans="1:20" x14ac:dyDescent="0.2">
      <c r="A85" s="35" t="s">
        <v>77</v>
      </c>
      <c r="B85" s="40" t="s">
        <v>70</v>
      </c>
      <c r="C85" s="103">
        <v>4.4271033167858098E-5</v>
      </c>
      <c r="D85" s="104" t="s">
        <v>132</v>
      </c>
      <c r="E85" s="67" t="s">
        <v>132</v>
      </c>
      <c r="F85" s="67" t="s">
        <v>132</v>
      </c>
      <c r="G85" s="67" t="s">
        <v>132</v>
      </c>
      <c r="H85" s="67" t="s">
        <v>132</v>
      </c>
      <c r="I85" s="67">
        <v>7.3785055279763405E-5</v>
      </c>
      <c r="J85" s="67" t="s">
        <v>132</v>
      </c>
      <c r="K85" s="67">
        <v>5.9028044223810701E-5</v>
      </c>
      <c r="L85" s="67">
        <v>8.8542066335716102E-5</v>
      </c>
      <c r="M85" s="67" t="s">
        <v>132</v>
      </c>
      <c r="N85" s="67" t="s">
        <v>132</v>
      </c>
      <c r="O85" s="67" t="s">
        <v>132</v>
      </c>
      <c r="P85" s="67" t="s">
        <v>132</v>
      </c>
      <c r="Q85" s="67" t="s">
        <v>132</v>
      </c>
      <c r="R85" s="67" t="s">
        <v>132</v>
      </c>
      <c r="S85" s="85">
        <v>2.3611217689524299E-4</v>
      </c>
      <c r="T85" s="89">
        <v>5.017383759023913E-4</v>
      </c>
    </row>
    <row r="86" spans="1:20" x14ac:dyDescent="0.2">
      <c r="A86" s="36" t="s">
        <v>28</v>
      </c>
      <c r="B86" s="39" t="s">
        <v>70</v>
      </c>
      <c r="C86" s="105" t="s">
        <v>132</v>
      </c>
      <c r="D86" s="106" t="s">
        <v>132</v>
      </c>
      <c r="E86" s="66" t="s">
        <v>132</v>
      </c>
      <c r="F86" s="66" t="s">
        <v>132</v>
      </c>
      <c r="G86" s="66" t="s">
        <v>132</v>
      </c>
      <c r="H86" s="66" t="s">
        <v>132</v>
      </c>
      <c r="I86" s="66" t="s">
        <v>132</v>
      </c>
      <c r="J86" s="66" t="s">
        <v>132</v>
      </c>
      <c r="K86" s="66" t="s">
        <v>132</v>
      </c>
      <c r="L86" s="66" t="s">
        <v>132</v>
      </c>
      <c r="M86" s="66" t="s">
        <v>132</v>
      </c>
      <c r="N86" s="66" t="s">
        <v>132</v>
      </c>
      <c r="O86" s="66" t="s">
        <v>132</v>
      </c>
      <c r="P86" s="66" t="s">
        <v>132</v>
      </c>
      <c r="Q86" s="66" t="s">
        <v>132</v>
      </c>
      <c r="R86" s="66" t="s">
        <v>132</v>
      </c>
      <c r="S86" s="84" t="s">
        <v>132</v>
      </c>
      <c r="T86" s="88" t="s">
        <v>132</v>
      </c>
    </row>
    <row r="87" spans="1:20" x14ac:dyDescent="0.2">
      <c r="A87" s="35" t="s">
        <v>29</v>
      </c>
      <c r="B87" s="40" t="s">
        <v>70</v>
      </c>
      <c r="C87" s="103" t="s">
        <v>132</v>
      </c>
      <c r="D87" s="104" t="s">
        <v>132</v>
      </c>
      <c r="E87" s="67" t="s">
        <v>132</v>
      </c>
      <c r="F87" s="67" t="s">
        <v>132</v>
      </c>
      <c r="G87" s="67" t="s">
        <v>132</v>
      </c>
      <c r="H87" s="67" t="s">
        <v>132</v>
      </c>
      <c r="I87" s="67" t="s">
        <v>132</v>
      </c>
      <c r="J87" s="67" t="s">
        <v>132</v>
      </c>
      <c r="K87" s="67" t="s">
        <v>132</v>
      </c>
      <c r="L87" s="67" t="s">
        <v>132</v>
      </c>
      <c r="M87" s="67" t="s">
        <v>132</v>
      </c>
      <c r="N87" s="67" t="s">
        <v>132</v>
      </c>
      <c r="O87" s="67" t="s">
        <v>132</v>
      </c>
      <c r="P87" s="67" t="s">
        <v>132</v>
      </c>
      <c r="Q87" s="67" t="s">
        <v>132</v>
      </c>
      <c r="R87" s="67" t="s">
        <v>132</v>
      </c>
      <c r="S87" s="85" t="s">
        <v>132</v>
      </c>
      <c r="T87" s="89" t="s">
        <v>132</v>
      </c>
    </row>
    <row r="88" spans="1:20" x14ac:dyDescent="0.2">
      <c r="A88" s="36" t="s">
        <v>30</v>
      </c>
      <c r="B88" s="39" t="s">
        <v>70</v>
      </c>
      <c r="C88" s="105" t="s">
        <v>132</v>
      </c>
      <c r="D88" s="106" t="s">
        <v>132</v>
      </c>
      <c r="E88" s="66" t="s">
        <v>132</v>
      </c>
      <c r="F88" s="66" t="s">
        <v>132</v>
      </c>
      <c r="G88" s="66" t="s">
        <v>132</v>
      </c>
      <c r="H88" s="66" t="s">
        <v>132</v>
      </c>
      <c r="I88" s="66" t="s">
        <v>132</v>
      </c>
      <c r="J88" s="66" t="s">
        <v>132</v>
      </c>
      <c r="K88" s="66" t="s">
        <v>132</v>
      </c>
      <c r="L88" s="66" t="s">
        <v>132</v>
      </c>
      <c r="M88" s="66" t="s">
        <v>132</v>
      </c>
      <c r="N88" s="66" t="s">
        <v>132</v>
      </c>
      <c r="O88" s="66" t="s">
        <v>132</v>
      </c>
      <c r="P88" s="66" t="s">
        <v>132</v>
      </c>
      <c r="Q88" s="66" t="s">
        <v>132</v>
      </c>
      <c r="R88" s="66" t="s">
        <v>132</v>
      </c>
      <c r="S88" s="84">
        <v>8.8542066335716102E-5</v>
      </c>
      <c r="T88" s="88">
        <v>8.8542066335716102E-5</v>
      </c>
    </row>
    <row r="89" spans="1:20" x14ac:dyDescent="0.2">
      <c r="A89" s="35" t="s">
        <v>31</v>
      </c>
      <c r="B89" s="40" t="s">
        <v>70</v>
      </c>
      <c r="C89" s="103" t="s">
        <v>132</v>
      </c>
      <c r="D89" s="104" t="s">
        <v>132</v>
      </c>
      <c r="E89" s="67" t="s">
        <v>132</v>
      </c>
      <c r="F89" s="67">
        <v>2.0659815478333801E-4</v>
      </c>
      <c r="G89" s="67" t="s">
        <v>132</v>
      </c>
      <c r="H89" s="67" t="s">
        <v>132</v>
      </c>
      <c r="I89" s="67">
        <v>2.0659815478333801E-4</v>
      </c>
      <c r="J89" s="67" t="s">
        <v>132</v>
      </c>
      <c r="K89" s="67" t="s">
        <v>132</v>
      </c>
      <c r="L89" s="67" t="s">
        <v>132</v>
      </c>
      <c r="M89" s="67" t="s">
        <v>132</v>
      </c>
      <c r="N89" s="67" t="s">
        <v>132</v>
      </c>
      <c r="O89" s="67" t="s">
        <v>132</v>
      </c>
      <c r="P89" s="67" t="s">
        <v>132</v>
      </c>
      <c r="Q89" s="67" t="s">
        <v>132</v>
      </c>
      <c r="R89" s="67" t="s">
        <v>132</v>
      </c>
      <c r="S89" s="85" t="s">
        <v>132</v>
      </c>
      <c r="T89" s="89">
        <v>4.1319630956667601E-4</v>
      </c>
    </row>
    <row r="90" spans="1:20" x14ac:dyDescent="0.2">
      <c r="A90" s="36" t="s">
        <v>20</v>
      </c>
      <c r="B90" s="39" t="s">
        <v>70</v>
      </c>
      <c r="C90" s="105" t="s">
        <v>132</v>
      </c>
      <c r="D90" s="106" t="s">
        <v>132</v>
      </c>
      <c r="E90" s="66" t="s">
        <v>132</v>
      </c>
      <c r="F90" s="66" t="s">
        <v>132</v>
      </c>
      <c r="G90" s="66" t="s">
        <v>132</v>
      </c>
      <c r="H90" s="66" t="s">
        <v>132</v>
      </c>
      <c r="I90" s="66" t="s">
        <v>132</v>
      </c>
      <c r="J90" s="66" t="s">
        <v>132</v>
      </c>
      <c r="K90" s="66" t="s">
        <v>132</v>
      </c>
      <c r="L90" s="66" t="s">
        <v>132</v>
      </c>
      <c r="M90" s="66" t="s">
        <v>132</v>
      </c>
      <c r="N90" s="66" t="s">
        <v>132</v>
      </c>
      <c r="O90" s="66" t="s">
        <v>132</v>
      </c>
      <c r="P90" s="66" t="s">
        <v>132</v>
      </c>
      <c r="Q90" s="66" t="s">
        <v>132</v>
      </c>
      <c r="R90" s="66" t="s">
        <v>132</v>
      </c>
      <c r="S90" s="84" t="s">
        <v>132</v>
      </c>
      <c r="T90" s="88" t="s">
        <v>132</v>
      </c>
    </row>
    <row r="91" spans="1:20" x14ac:dyDescent="0.2">
      <c r="A91" s="35" t="s">
        <v>32</v>
      </c>
      <c r="B91" s="40" t="s">
        <v>70</v>
      </c>
      <c r="C91" s="103">
        <v>1.4757011055952701E-5</v>
      </c>
      <c r="D91" s="104" t="s">
        <v>132</v>
      </c>
      <c r="E91" s="67" t="s">
        <v>132</v>
      </c>
      <c r="F91" s="67">
        <v>1.4757011055952701E-5</v>
      </c>
      <c r="G91" s="67" t="s">
        <v>132</v>
      </c>
      <c r="H91" s="67" t="s">
        <v>132</v>
      </c>
      <c r="I91" s="67" t="s">
        <v>132</v>
      </c>
      <c r="J91" s="67" t="s">
        <v>132</v>
      </c>
      <c r="K91" s="67" t="s">
        <v>132</v>
      </c>
      <c r="L91" s="67" t="s">
        <v>132</v>
      </c>
      <c r="M91" s="67" t="s">
        <v>132</v>
      </c>
      <c r="N91" s="67" t="s">
        <v>132</v>
      </c>
      <c r="O91" s="67" t="s">
        <v>132</v>
      </c>
      <c r="P91" s="67" t="s">
        <v>132</v>
      </c>
      <c r="Q91" s="67" t="s">
        <v>132</v>
      </c>
      <c r="R91" s="67" t="s">
        <v>132</v>
      </c>
      <c r="S91" s="85">
        <v>1.51997213876313E-3</v>
      </c>
      <c r="T91" s="89">
        <v>1.5494861608750354E-3</v>
      </c>
    </row>
    <row r="92" spans="1:20" x14ac:dyDescent="0.2">
      <c r="A92" s="36" t="s">
        <v>23</v>
      </c>
      <c r="B92" s="39" t="s">
        <v>71</v>
      </c>
      <c r="C92" s="105" t="s">
        <v>132</v>
      </c>
      <c r="D92" s="106" t="s">
        <v>132</v>
      </c>
      <c r="E92" s="66" t="s">
        <v>132</v>
      </c>
      <c r="F92" s="66" t="s">
        <v>132</v>
      </c>
      <c r="G92" s="66" t="s">
        <v>132</v>
      </c>
      <c r="H92" s="66" t="s">
        <v>132</v>
      </c>
      <c r="I92" s="66" t="s">
        <v>132</v>
      </c>
      <c r="J92" s="66" t="s">
        <v>132</v>
      </c>
      <c r="K92" s="66" t="s">
        <v>132</v>
      </c>
      <c r="L92" s="66">
        <v>1.44618708348336E-3</v>
      </c>
      <c r="M92" s="66" t="s">
        <v>132</v>
      </c>
      <c r="N92" s="66" t="s">
        <v>132</v>
      </c>
      <c r="O92" s="66" t="s">
        <v>132</v>
      </c>
      <c r="P92" s="66" t="s">
        <v>132</v>
      </c>
      <c r="Q92" s="66" t="s">
        <v>132</v>
      </c>
      <c r="R92" s="66" t="s">
        <v>132</v>
      </c>
      <c r="S92" s="84" t="s">
        <v>132</v>
      </c>
      <c r="T92" s="88">
        <v>1.44618708348336E-3</v>
      </c>
    </row>
    <row r="93" spans="1:20" x14ac:dyDescent="0.2">
      <c r="A93" s="35" t="s">
        <v>24</v>
      </c>
      <c r="B93" s="40" t="s">
        <v>72</v>
      </c>
      <c r="C93" s="103" t="s">
        <v>132</v>
      </c>
      <c r="D93" s="104" t="s">
        <v>132</v>
      </c>
      <c r="E93" s="67" t="s">
        <v>132</v>
      </c>
      <c r="F93" s="67" t="s">
        <v>132</v>
      </c>
      <c r="G93" s="67" t="s">
        <v>132</v>
      </c>
      <c r="H93" s="67" t="s">
        <v>132</v>
      </c>
      <c r="I93" s="67" t="s">
        <v>132</v>
      </c>
      <c r="J93" s="67" t="s">
        <v>132</v>
      </c>
      <c r="K93" s="67" t="s">
        <v>132</v>
      </c>
      <c r="L93" s="67" t="s">
        <v>132</v>
      </c>
      <c r="M93" s="67" t="s">
        <v>132</v>
      </c>
      <c r="N93" s="67" t="s">
        <v>132</v>
      </c>
      <c r="O93" s="67" t="s">
        <v>132</v>
      </c>
      <c r="P93" s="67">
        <v>2.4880320640336198E-3</v>
      </c>
      <c r="Q93" s="67" t="s">
        <v>132</v>
      </c>
      <c r="R93" s="67" t="s">
        <v>132</v>
      </c>
      <c r="S93" s="85" t="s">
        <v>132</v>
      </c>
      <c r="T93" s="89">
        <v>2.4880320640336198E-3</v>
      </c>
    </row>
    <row r="94" spans="1:20" x14ac:dyDescent="0.2">
      <c r="A94" s="36" t="s">
        <v>25</v>
      </c>
      <c r="B94" s="39" t="s">
        <v>72</v>
      </c>
      <c r="C94" s="105" t="s">
        <v>132</v>
      </c>
      <c r="D94" s="106" t="s">
        <v>132</v>
      </c>
      <c r="E94" s="66" t="s">
        <v>132</v>
      </c>
      <c r="F94" s="66" t="s">
        <v>132</v>
      </c>
      <c r="G94" s="66" t="s">
        <v>132</v>
      </c>
      <c r="H94" s="66" t="s">
        <v>132</v>
      </c>
      <c r="I94" s="66" t="s">
        <v>132</v>
      </c>
      <c r="J94" s="66" t="s">
        <v>132</v>
      </c>
      <c r="K94" s="66" t="s">
        <v>132</v>
      </c>
      <c r="L94" s="66" t="s">
        <v>132</v>
      </c>
      <c r="M94" s="66" t="s">
        <v>132</v>
      </c>
      <c r="N94" s="66" t="s">
        <v>132</v>
      </c>
      <c r="O94" s="66" t="s">
        <v>132</v>
      </c>
      <c r="P94" s="66">
        <v>1.0312199325899701E-2</v>
      </c>
      <c r="Q94" s="66" t="s">
        <v>132</v>
      </c>
      <c r="R94" s="66" t="s">
        <v>132</v>
      </c>
      <c r="S94" s="84" t="s">
        <v>132</v>
      </c>
      <c r="T94" s="88">
        <v>1.0312199325899701E-2</v>
      </c>
    </row>
    <row r="95" spans="1:20" x14ac:dyDescent="0.2">
      <c r="A95" s="35" t="s">
        <v>78</v>
      </c>
      <c r="B95" s="40" t="s">
        <v>72</v>
      </c>
      <c r="C95" s="103" t="s">
        <v>132</v>
      </c>
      <c r="D95" s="104" t="s">
        <v>132</v>
      </c>
      <c r="E95" s="67" t="s">
        <v>132</v>
      </c>
      <c r="F95" s="67" t="s">
        <v>132</v>
      </c>
      <c r="G95" s="67" t="s">
        <v>132</v>
      </c>
      <c r="H95" s="67" t="s">
        <v>132</v>
      </c>
      <c r="I95" s="67" t="s">
        <v>132</v>
      </c>
      <c r="J95" s="67" t="s">
        <v>132</v>
      </c>
      <c r="K95" s="67" t="s">
        <v>132</v>
      </c>
      <c r="L95" s="67" t="s">
        <v>132</v>
      </c>
      <c r="M95" s="67" t="s">
        <v>132</v>
      </c>
      <c r="N95" s="67" t="s">
        <v>132</v>
      </c>
      <c r="O95" s="67" t="s">
        <v>132</v>
      </c>
      <c r="P95" s="67" t="s">
        <v>132</v>
      </c>
      <c r="Q95" s="67">
        <v>1.4757011055952701E-5</v>
      </c>
      <c r="R95" s="67" t="s">
        <v>132</v>
      </c>
      <c r="S95" s="85" t="s">
        <v>132</v>
      </c>
      <c r="T95" s="89">
        <v>1.4757011055952701E-5</v>
      </c>
    </row>
    <row r="96" spans="1:20" x14ac:dyDescent="0.2">
      <c r="A96" s="36" t="s">
        <v>26</v>
      </c>
      <c r="B96" s="39" t="s">
        <v>72</v>
      </c>
      <c r="C96" s="105" t="s">
        <v>132</v>
      </c>
      <c r="D96" s="106" t="s">
        <v>132</v>
      </c>
      <c r="E96" s="66" t="s">
        <v>132</v>
      </c>
      <c r="F96" s="66" t="s">
        <v>132</v>
      </c>
      <c r="G96" s="66" t="s">
        <v>132</v>
      </c>
      <c r="H96" s="66" t="s">
        <v>132</v>
      </c>
      <c r="I96" s="66" t="s">
        <v>132</v>
      </c>
      <c r="J96" s="66" t="s">
        <v>132</v>
      </c>
      <c r="K96" s="66" t="s">
        <v>132</v>
      </c>
      <c r="L96" s="66" t="s">
        <v>132</v>
      </c>
      <c r="M96" s="66" t="s">
        <v>132</v>
      </c>
      <c r="N96" s="66" t="s">
        <v>132</v>
      </c>
      <c r="O96" s="66" t="s">
        <v>132</v>
      </c>
      <c r="P96" s="66">
        <v>1.6527852382666999E-3</v>
      </c>
      <c r="Q96" s="66" t="s">
        <v>132</v>
      </c>
      <c r="R96" s="66" t="s">
        <v>132</v>
      </c>
      <c r="S96" s="84" t="s">
        <v>132</v>
      </c>
      <c r="T96" s="88">
        <v>1.6527852382666999E-3</v>
      </c>
    </row>
    <row r="97" spans="1:20" ht="13.5" thickBot="1" x14ac:dyDescent="0.25">
      <c r="A97" s="43" t="s">
        <v>27</v>
      </c>
      <c r="B97" s="42" t="s">
        <v>72</v>
      </c>
      <c r="C97" s="107" t="s">
        <v>132</v>
      </c>
      <c r="D97" s="108" t="s">
        <v>132</v>
      </c>
      <c r="E97" s="74" t="s">
        <v>132</v>
      </c>
      <c r="F97" s="74" t="s">
        <v>132</v>
      </c>
      <c r="G97" s="74" t="s">
        <v>132</v>
      </c>
      <c r="H97" s="74" t="s">
        <v>132</v>
      </c>
      <c r="I97" s="74" t="s">
        <v>132</v>
      </c>
      <c r="J97" s="74" t="s">
        <v>132</v>
      </c>
      <c r="K97" s="74" t="s">
        <v>132</v>
      </c>
      <c r="L97" s="74" t="s">
        <v>132</v>
      </c>
      <c r="M97" s="74" t="s">
        <v>132</v>
      </c>
      <c r="N97" s="74" t="s">
        <v>132</v>
      </c>
      <c r="O97" s="74" t="s">
        <v>132</v>
      </c>
      <c r="P97" s="74" t="s">
        <v>132</v>
      </c>
      <c r="Q97" s="74">
        <v>1.2986169729238401E-3</v>
      </c>
      <c r="R97" s="74" t="s">
        <v>132</v>
      </c>
      <c r="S97" s="86" t="s">
        <v>132</v>
      </c>
      <c r="T97" s="75">
        <v>1.2986169729238401E-3</v>
      </c>
    </row>
    <row r="98" spans="1:20" ht="14.25" thickTop="1" thickBot="1" x14ac:dyDescent="0.25">
      <c r="A98" s="34" t="s">
        <v>0</v>
      </c>
      <c r="B98" s="41"/>
      <c r="C98" s="101">
        <v>1.8593833930500398E-3</v>
      </c>
      <c r="D98" s="102" t="s">
        <v>132</v>
      </c>
      <c r="E98" s="73">
        <v>4.7222435379048555E-4</v>
      </c>
      <c r="F98" s="73">
        <v>5.6076642012620247E-4</v>
      </c>
      <c r="G98" s="73" t="s">
        <v>132</v>
      </c>
      <c r="H98" s="73">
        <v>2.9514022111905401E-5</v>
      </c>
      <c r="I98" s="73">
        <v>6.4930848646191884E-4</v>
      </c>
      <c r="J98" s="73" t="s">
        <v>132</v>
      </c>
      <c r="K98" s="73">
        <v>1.918411437273847E-4</v>
      </c>
      <c r="L98" s="73">
        <v>1.5347291498190761E-3</v>
      </c>
      <c r="M98" s="73">
        <v>5.9028044223810802E-5</v>
      </c>
      <c r="N98" s="73" t="s">
        <v>132</v>
      </c>
      <c r="O98" s="73" t="s">
        <v>132</v>
      </c>
      <c r="P98" s="73">
        <v>1.4453016628200021E-2</v>
      </c>
      <c r="Q98" s="73">
        <v>1.3133739839797927E-3</v>
      </c>
      <c r="R98" s="73" t="s">
        <v>132</v>
      </c>
      <c r="S98" s="87">
        <v>2.5972339458476758E-3</v>
      </c>
      <c r="T98" s="90">
        <v>2.3720419571338313E-2</v>
      </c>
    </row>
  </sheetData>
  <mergeCells count="76">
    <mergeCell ref="A1:T1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6:T26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A51:T51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A76:T76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8:D98"/>
    <mergeCell ref="C93:D93"/>
    <mergeCell ref="C94:D94"/>
    <mergeCell ref="C95:D95"/>
    <mergeCell ref="C96:D96"/>
    <mergeCell ref="C97:D97"/>
  </mergeCells>
  <conditionalFormatting sqref="C5:T23">
    <cfRule type="cellIs" dxfId="13" priority="1" operator="greaterThan">
      <formula>0</formula>
    </cfRule>
  </conditionalFormatting>
  <conditionalFormatting sqref="T23">
    <cfRule type="cellIs" dxfId="12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71" orientation="landscape" r:id="rId1"/>
  <headerFooter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showGridLines="0" zoomScaleNormal="100" workbookViewId="0">
      <selection activeCell="A30" sqref="A30"/>
    </sheetView>
  </sheetViews>
  <sheetFormatPr defaultRowHeight="12.75" x14ac:dyDescent="0.2"/>
  <cols>
    <col min="1" max="1" width="31.7109375" style="31" bestFit="1" customWidth="1"/>
    <col min="2" max="10" width="10" style="21" customWidth="1"/>
    <col min="11" max="11" width="12.85546875" style="21" customWidth="1"/>
    <col min="12" max="15" width="10" style="21" customWidth="1"/>
    <col min="16" max="16" width="14" style="21" customWidth="1"/>
    <col min="17" max="17" width="10" style="21" customWidth="1"/>
    <col min="18" max="16384" width="9.140625" style="16"/>
  </cols>
  <sheetData>
    <row r="1" spans="1:17" ht="15" x14ac:dyDescent="0.25">
      <c r="A1" s="109" t="s">
        <v>121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7.5" customHeight="1" x14ac:dyDescent="0.2"/>
    <row r="3" spans="1:17" ht="12.75" customHeight="1" thickBot="1" x14ac:dyDescent="0.25">
      <c r="A3" s="31" t="s">
        <v>133</v>
      </c>
    </row>
    <row r="4" spans="1:17" s="5" customFormat="1" ht="38.25" customHeight="1" thickBot="1" x14ac:dyDescent="0.25">
      <c r="A4" s="25" t="s">
        <v>66</v>
      </c>
      <c r="B4" s="26" t="s">
        <v>38</v>
      </c>
      <c r="C4" s="32" t="s">
        <v>39</v>
      </c>
      <c r="D4" s="32" t="s">
        <v>40</v>
      </c>
      <c r="E4" s="32" t="s">
        <v>41</v>
      </c>
      <c r="F4" s="32" t="s">
        <v>42</v>
      </c>
      <c r="G4" s="32" t="s">
        <v>43</v>
      </c>
      <c r="H4" s="32" t="s">
        <v>44</v>
      </c>
      <c r="I4" s="32" t="s">
        <v>45</v>
      </c>
      <c r="J4" s="32" t="s">
        <v>64</v>
      </c>
      <c r="K4" s="32" t="s">
        <v>46</v>
      </c>
      <c r="L4" s="32" t="s">
        <v>7</v>
      </c>
      <c r="M4" s="32" t="s">
        <v>76</v>
      </c>
      <c r="N4" s="32" t="s">
        <v>47</v>
      </c>
      <c r="O4" s="32" t="s">
        <v>48</v>
      </c>
      <c r="P4" s="27" t="s">
        <v>49</v>
      </c>
      <c r="Q4" s="24" t="s">
        <v>0</v>
      </c>
    </row>
    <row r="5" spans="1:17" ht="12.75" customHeight="1" x14ac:dyDescent="0.2">
      <c r="A5" s="23" t="s">
        <v>8</v>
      </c>
      <c r="B5" s="53" t="s">
        <v>132</v>
      </c>
      <c r="C5" s="67" t="s">
        <v>132</v>
      </c>
      <c r="D5" s="67" t="s">
        <v>132</v>
      </c>
      <c r="E5" s="67">
        <v>5.8026946127565202E-4</v>
      </c>
      <c r="F5" s="67">
        <v>5.7771587152718398E-6</v>
      </c>
      <c r="G5" s="67">
        <v>1.3237357159128201E-4</v>
      </c>
      <c r="H5" s="67">
        <v>1.45855200007208E-6</v>
      </c>
      <c r="I5" s="67">
        <v>4.7504673867197399E-5</v>
      </c>
      <c r="J5" s="67">
        <v>2.5572144300590499E-3</v>
      </c>
      <c r="K5" s="67">
        <v>5.5789020854825301E-4</v>
      </c>
      <c r="L5" s="67">
        <v>3.0863185436664202E-4</v>
      </c>
      <c r="M5" s="67">
        <v>2.9171040001441499E-6</v>
      </c>
      <c r="N5" s="67" t="s">
        <v>132</v>
      </c>
      <c r="O5" s="67" t="s">
        <v>132</v>
      </c>
      <c r="P5" s="56" t="s">
        <v>132</v>
      </c>
      <c r="Q5" s="58">
        <v>4.1940370144235642E-3</v>
      </c>
    </row>
    <row r="6" spans="1:17" ht="12.75" customHeight="1" x14ac:dyDescent="0.2">
      <c r="A6" s="22" t="s">
        <v>9</v>
      </c>
      <c r="B6" s="54">
        <v>1.3424302311524101E-3</v>
      </c>
      <c r="C6" s="66" t="s">
        <v>132</v>
      </c>
      <c r="D6" s="66">
        <v>2.5524436817730999E-3</v>
      </c>
      <c r="E6" s="66">
        <v>1.65444025190655E-3</v>
      </c>
      <c r="F6" s="66">
        <v>9.5266399377116201E-4</v>
      </c>
      <c r="G6" s="66">
        <v>5.6710371125276405E-4</v>
      </c>
      <c r="H6" s="66">
        <v>4.3756560002162297E-6</v>
      </c>
      <c r="I6" s="66">
        <v>1.48303545022042E-4</v>
      </c>
      <c r="J6" s="66">
        <v>1.9008810945898399E-4</v>
      </c>
      <c r="K6" s="66">
        <v>1.67092996417707E-3</v>
      </c>
      <c r="L6" s="66">
        <v>1.5371547548153599E-3</v>
      </c>
      <c r="M6" s="66">
        <v>1.69704651891566E-3</v>
      </c>
      <c r="N6" s="66" t="s">
        <v>132</v>
      </c>
      <c r="O6" s="66" t="s">
        <v>132</v>
      </c>
      <c r="P6" s="55">
        <v>1.6573675503271201E-4</v>
      </c>
      <c r="Q6" s="59">
        <v>1.248271717327803E-2</v>
      </c>
    </row>
    <row r="7" spans="1:17" ht="12.75" customHeight="1" x14ac:dyDescent="0.2">
      <c r="A7" s="23" t="s">
        <v>10</v>
      </c>
      <c r="B7" s="53">
        <v>6.4905564003207394E-5</v>
      </c>
      <c r="C7" s="67" t="s">
        <v>132</v>
      </c>
      <c r="D7" s="67">
        <v>6.9440003153294994E-5</v>
      </c>
      <c r="E7" s="67">
        <v>3.2909468517443698E-4</v>
      </c>
      <c r="F7" s="67">
        <v>7.2927600003603799E-7</v>
      </c>
      <c r="G7" s="67">
        <v>2.8099468291306699E-5</v>
      </c>
      <c r="H7" s="67">
        <v>2.1878280001081102E-6</v>
      </c>
      <c r="I7" s="67">
        <v>1.7388525430831999E-5</v>
      </c>
      <c r="J7" s="67">
        <v>4.93625708623847E-5</v>
      </c>
      <c r="K7" s="67">
        <v>3.54492775766835E-5</v>
      </c>
      <c r="L7" s="67">
        <v>8.5985154014058001E-5</v>
      </c>
      <c r="M7" s="67">
        <v>5.3835969693559395E-4</v>
      </c>
      <c r="N7" s="67" t="s">
        <v>132</v>
      </c>
      <c r="O7" s="67" t="s">
        <v>132</v>
      </c>
      <c r="P7" s="56">
        <v>9.3664894304355596E-6</v>
      </c>
      <c r="Q7" s="58">
        <v>1.2303685388723781E-3</v>
      </c>
    </row>
    <row r="8" spans="1:17" ht="12.75" customHeight="1" x14ac:dyDescent="0.2">
      <c r="A8" s="22" t="s">
        <v>11</v>
      </c>
      <c r="B8" s="54" t="s">
        <v>132</v>
      </c>
      <c r="C8" s="66" t="s">
        <v>132</v>
      </c>
      <c r="D8" s="66">
        <v>6.0886368133471896E-4</v>
      </c>
      <c r="E8" s="66">
        <v>1.8292181273383499E-4</v>
      </c>
      <c r="F8" s="66" t="s">
        <v>132</v>
      </c>
      <c r="G8" s="66">
        <v>8.6942627154159892E-6</v>
      </c>
      <c r="H8" s="66" t="s">
        <v>132</v>
      </c>
      <c r="I8" s="66" t="s">
        <v>132</v>
      </c>
      <c r="J8" s="66">
        <v>1.8081833280409901E-3</v>
      </c>
      <c r="K8" s="66">
        <v>1.5206402359225501E-4</v>
      </c>
      <c r="L8" s="66">
        <v>3.8303627363309601E-4</v>
      </c>
      <c r="M8" s="66">
        <v>9.1816593945430697E-4</v>
      </c>
      <c r="N8" s="66" t="s">
        <v>132</v>
      </c>
      <c r="O8" s="66">
        <v>9.4805880004684897E-6</v>
      </c>
      <c r="P8" s="55">
        <v>3.6793731006722702E-5</v>
      </c>
      <c r="Q8" s="59">
        <v>4.1082036405118089E-3</v>
      </c>
    </row>
    <row r="9" spans="1:17" ht="12.75" customHeight="1" x14ac:dyDescent="0.2">
      <c r="A9" s="23" t="s">
        <v>12</v>
      </c>
      <c r="B9" s="53" t="s">
        <v>132</v>
      </c>
      <c r="C9" s="67" t="s">
        <v>132</v>
      </c>
      <c r="D9" s="67" t="s">
        <v>132</v>
      </c>
      <c r="E9" s="67">
        <v>2.3780861576106899E-5</v>
      </c>
      <c r="F9" s="67">
        <v>1.3742145430651799E-5</v>
      </c>
      <c r="G9" s="67">
        <v>1.8732978860871099E-5</v>
      </c>
      <c r="H9" s="67" t="s">
        <v>132</v>
      </c>
      <c r="I9" s="67" t="s">
        <v>132</v>
      </c>
      <c r="J9" s="67">
        <v>2.38730923881363E-4</v>
      </c>
      <c r="K9" s="67">
        <v>1.7388525430831999E-5</v>
      </c>
      <c r="L9" s="67">
        <v>7.0342433138693896E-4</v>
      </c>
      <c r="M9" s="67">
        <v>3.2452234557990198E-3</v>
      </c>
      <c r="N9" s="67">
        <v>4.8075166717361999E-5</v>
      </c>
      <c r="O9" s="67">
        <v>4.3186067151997602E-5</v>
      </c>
      <c r="P9" s="56">
        <v>2.9171040001441499E-6</v>
      </c>
      <c r="Q9" s="58">
        <v>4.3552015602352874E-3</v>
      </c>
    </row>
    <row r="10" spans="1:17" ht="12.75" customHeight="1" x14ac:dyDescent="0.2">
      <c r="A10" s="22" t="s">
        <v>13</v>
      </c>
      <c r="B10" s="54" t="s">
        <v>132</v>
      </c>
      <c r="C10" s="66" t="s">
        <v>132</v>
      </c>
      <c r="D10" s="66" t="s">
        <v>132</v>
      </c>
      <c r="E10" s="66" t="s">
        <v>132</v>
      </c>
      <c r="F10" s="66" t="s">
        <v>132</v>
      </c>
      <c r="G10" s="66" t="s">
        <v>132</v>
      </c>
      <c r="H10" s="66" t="s">
        <v>132</v>
      </c>
      <c r="I10" s="66" t="s">
        <v>132</v>
      </c>
      <c r="J10" s="66" t="s">
        <v>132</v>
      </c>
      <c r="K10" s="66" t="s">
        <v>132</v>
      </c>
      <c r="L10" s="66">
        <v>1.1611366715560101E-5</v>
      </c>
      <c r="M10" s="66">
        <v>3.5734524001765902E-5</v>
      </c>
      <c r="N10" s="66" t="s">
        <v>132</v>
      </c>
      <c r="O10" s="66" t="s">
        <v>132</v>
      </c>
      <c r="P10" s="55">
        <v>1.45855200007208E-6</v>
      </c>
      <c r="Q10" s="59">
        <v>4.8804442717398083E-5</v>
      </c>
    </row>
    <row r="11" spans="1:17" ht="12.75" customHeight="1" x14ac:dyDescent="0.2">
      <c r="A11" s="23" t="s">
        <v>14</v>
      </c>
      <c r="B11" s="53" t="s">
        <v>132</v>
      </c>
      <c r="C11" s="67" t="s">
        <v>132</v>
      </c>
      <c r="D11" s="67" t="s">
        <v>132</v>
      </c>
      <c r="E11" s="67">
        <v>7.2927600003603799E-7</v>
      </c>
      <c r="F11" s="67" t="s">
        <v>132</v>
      </c>
      <c r="G11" s="67" t="s">
        <v>132</v>
      </c>
      <c r="H11" s="67" t="s">
        <v>132</v>
      </c>
      <c r="I11" s="67" t="s">
        <v>132</v>
      </c>
      <c r="J11" s="67" t="s">
        <v>132</v>
      </c>
      <c r="K11" s="67" t="s">
        <v>132</v>
      </c>
      <c r="L11" s="67">
        <v>2.1878280001081101E-5</v>
      </c>
      <c r="M11" s="67">
        <v>1.44143721456714E-5</v>
      </c>
      <c r="N11" s="67" t="s">
        <v>132</v>
      </c>
      <c r="O11" s="67" t="s">
        <v>132</v>
      </c>
      <c r="P11" s="56" t="s">
        <v>132</v>
      </c>
      <c r="Q11" s="58">
        <v>3.7021928146788535E-5</v>
      </c>
    </row>
    <row r="12" spans="1:17" ht="12.75" customHeight="1" x14ac:dyDescent="0.2">
      <c r="A12" s="22" t="s">
        <v>15</v>
      </c>
      <c r="B12" s="54" t="s">
        <v>132</v>
      </c>
      <c r="C12" s="66" t="s">
        <v>132</v>
      </c>
      <c r="D12" s="66" t="s">
        <v>132</v>
      </c>
      <c r="E12" s="66">
        <v>4.3186067151997604E-6</v>
      </c>
      <c r="F12" s="66" t="s">
        <v>132</v>
      </c>
      <c r="G12" s="66">
        <v>9.3664894304355596E-6</v>
      </c>
      <c r="H12" s="66" t="s">
        <v>132</v>
      </c>
      <c r="I12" s="66" t="s">
        <v>132</v>
      </c>
      <c r="J12" s="66">
        <v>1.8117801430867999E-5</v>
      </c>
      <c r="K12" s="66" t="s">
        <v>132</v>
      </c>
      <c r="L12" s="66">
        <v>2.06417427884859E-4</v>
      </c>
      <c r="M12" s="66">
        <v>5.9959415152826497E-5</v>
      </c>
      <c r="N12" s="66" t="s">
        <v>132</v>
      </c>
      <c r="O12" s="66" t="s">
        <v>132</v>
      </c>
      <c r="P12" s="55">
        <v>3.3933676291595E-5</v>
      </c>
      <c r="Q12" s="59">
        <v>3.321134169057838E-4</v>
      </c>
    </row>
    <row r="13" spans="1:17" ht="12.75" customHeight="1" x14ac:dyDescent="0.2">
      <c r="A13" s="23" t="s">
        <v>16</v>
      </c>
      <c r="B13" s="53" t="s">
        <v>132</v>
      </c>
      <c r="C13" s="67" t="s">
        <v>132</v>
      </c>
      <c r="D13" s="67" t="s">
        <v>132</v>
      </c>
      <c r="E13" s="67" t="s">
        <v>132</v>
      </c>
      <c r="F13" s="67" t="s">
        <v>132</v>
      </c>
      <c r="G13" s="67" t="s">
        <v>132</v>
      </c>
      <c r="H13" s="67" t="s">
        <v>132</v>
      </c>
      <c r="I13" s="67" t="s">
        <v>132</v>
      </c>
      <c r="J13" s="67" t="s">
        <v>132</v>
      </c>
      <c r="K13" s="67" t="s">
        <v>132</v>
      </c>
      <c r="L13" s="67" t="s">
        <v>132</v>
      </c>
      <c r="M13" s="67" t="s">
        <v>132</v>
      </c>
      <c r="N13" s="67" t="s">
        <v>132</v>
      </c>
      <c r="O13" s="67" t="s">
        <v>132</v>
      </c>
      <c r="P13" s="56" t="s">
        <v>132</v>
      </c>
      <c r="Q13" s="58" t="s">
        <v>132</v>
      </c>
    </row>
    <row r="14" spans="1:17" ht="12.75" customHeight="1" x14ac:dyDescent="0.2">
      <c r="A14" s="22" t="s">
        <v>17</v>
      </c>
      <c r="B14" s="54" t="s">
        <v>132</v>
      </c>
      <c r="C14" s="66" t="s">
        <v>132</v>
      </c>
      <c r="D14" s="66" t="s">
        <v>132</v>
      </c>
      <c r="E14" s="66">
        <v>3.0344345576431301E-5</v>
      </c>
      <c r="F14" s="66">
        <v>2.1593033575998801E-5</v>
      </c>
      <c r="G14" s="66">
        <v>1.45855200007208E-6</v>
      </c>
      <c r="H14" s="66" t="s">
        <v>132</v>
      </c>
      <c r="I14" s="66" t="s">
        <v>132</v>
      </c>
      <c r="J14" s="66">
        <v>4.3186067151997604E-6</v>
      </c>
      <c r="K14" s="66">
        <v>4.3756560002162297E-6</v>
      </c>
      <c r="L14" s="66">
        <v>3.0057623511949002E-5</v>
      </c>
      <c r="M14" s="66">
        <v>5.8386764582721503E-5</v>
      </c>
      <c r="N14" s="66" t="s">
        <v>132</v>
      </c>
      <c r="O14" s="66" t="s">
        <v>132</v>
      </c>
      <c r="P14" s="55">
        <v>1.7274426860799099E-5</v>
      </c>
      <c r="Q14" s="59">
        <v>1.6780900882338779E-4</v>
      </c>
    </row>
    <row r="15" spans="1:17" ht="12.75" customHeight="1" x14ac:dyDescent="0.2">
      <c r="A15" s="23" t="s">
        <v>79</v>
      </c>
      <c r="B15" s="53" t="s">
        <v>132</v>
      </c>
      <c r="C15" s="67" t="s">
        <v>132</v>
      </c>
      <c r="D15" s="67" t="s">
        <v>132</v>
      </c>
      <c r="E15" s="67">
        <v>5.5424976002738898E-5</v>
      </c>
      <c r="F15" s="67" t="s">
        <v>132</v>
      </c>
      <c r="G15" s="67">
        <v>7.2927600003603799E-7</v>
      </c>
      <c r="H15" s="67" t="s">
        <v>132</v>
      </c>
      <c r="I15" s="67" t="s">
        <v>132</v>
      </c>
      <c r="J15" s="67" t="s">
        <v>132</v>
      </c>
      <c r="K15" s="67" t="s">
        <v>132</v>
      </c>
      <c r="L15" s="67">
        <v>3.64638000018019E-6</v>
      </c>
      <c r="M15" s="67" t="s">
        <v>132</v>
      </c>
      <c r="N15" s="67" t="s">
        <v>132</v>
      </c>
      <c r="O15" s="67" t="s">
        <v>132</v>
      </c>
      <c r="P15" s="56" t="s">
        <v>132</v>
      </c>
      <c r="Q15" s="58">
        <v>5.9800632002955127E-5</v>
      </c>
    </row>
    <row r="16" spans="1:17" ht="12.75" customHeight="1" x14ac:dyDescent="0.2">
      <c r="A16" s="22" t="s">
        <v>80</v>
      </c>
      <c r="B16" s="54" t="s">
        <v>132</v>
      </c>
      <c r="C16" s="66" t="s">
        <v>132</v>
      </c>
      <c r="D16" s="66" t="s">
        <v>132</v>
      </c>
      <c r="E16" s="66" t="s">
        <v>132</v>
      </c>
      <c r="F16" s="66" t="s">
        <v>132</v>
      </c>
      <c r="G16" s="66">
        <v>7.2927600003603799E-7</v>
      </c>
      <c r="H16" s="66" t="s">
        <v>132</v>
      </c>
      <c r="I16" s="66" t="s">
        <v>132</v>
      </c>
      <c r="J16" s="66" t="s">
        <v>132</v>
      </c>
      <c r="K16" s="66" t="s">
        <v>132</v>
      </c>
      <c r="L16" s="66">
        <v>2.2550506716100698E-5</v>
      </c>
      <c r="M16" s="66">
        <v>4.2466511233261902E-4</v>
      </c>
      <c r="N16" s="66" t="s">
        <v>132</v>
      </c>
      <c r="O16" s="66" t="s">
        <v>132</v>
      </c>
      <c r="P16" s="55">
        <v>2.2436408146067799E-5</v>
      </c>
      <c r="Q16" s="59">
        <v>4.7038130319482354E-4</v>
      </c>
    </row>
    <row r="17" spans="1:17" ht="12.75" customHeight="1" x14ac:dyDescent="0.2">
      <c r="A17" s="23" t="s">
        <v>18</v>
      </c>
      <c r="B17" s="53" t="s">
        <v>132</v>
      </c>
      <c r="C17" s="67" t="s">
        <v>132</v>
      </c>
      <c r="D17" s="67">
        <v>7.2927600003603799E-7</v>
      </c>
      <c r="E17" s="67">
        <v>7.2927600003603799E-7</v>
      </c>
      <c r="F17" s="67" t="s">
        <v>132</v>
      </c>
      <c r="G17" s="67" t="s">
        <v>132</v>
      </c>
      <c r="H17" s="67" t="s">
        <v>132</v>
      </c>
      <c r="I17" s="67" t="s">
        <v>132</v>
      </c>
      <c r="J17" s="67" t="s">
        <v>132</v>
      </c>
      <c r="K17" s="67" t="s">
        <v>132</v>
      </c>
      <c r="L17" s="67" t="s">
        <v>132</v>
      </c>
      <c r="M17" s="67">
        <v>4.7504673867197399E-5</v>
      </c>
      <c r="N17" s="67" t="s">
        <v>132</v>
      </c>
      <c r="O17" s="67" t="s">
        <v>132</v>
      </c>
      <c r="P17" s="56" t="s">
        <v>132</v>
      </c>
      <c r="Q17" s="58">
        <v>4.8963225867269473E-5</v>
      </c>
    </row>
    <row r="18" spans="1:17" ht="12.75" customHeight="1" x14ac:dyDescent="0.2">
      <c r="A18" s="22" t="s">
        <v>78</v>
      </c>
      <c r="B18" s="54" t="s">
        <v>132</v>
      </c>
      <c r="C18" s="66" t="s">
        <v>132</v>
      </c>
      <c r="D18" s="66" t="s">
        <v>132</v>
      </c>
      <c r="E18" s="66">
        <v>1.4974973231693601E-4</v>
      </c>
      <c r="F18" s="66" t="s">
        <v>132</v>
      </c>
      <c r="G18" s="66" t="s">
        <v>132</v>
      </c>
      <c r="H18" s="66" t="s">
        <v>132</v>
      </c>
      <c r="I18" s="66" t="s">
        <v>132</v>
      </c>
      <c r="J18" s="66" t="s">
        <v>132</v>
      </c>
      <c r="K18" s="66">
        <v>8.6372134303995292E-6</v>
      </c>
      <c r="L18" s="66">
        <v>4.7504673867197399E-5</v>
      </c>
      <c r="M18" s="66">
        <v>4.3186067151997604E-6</v>
      </c>
      <c r="N18" s="66" t="s">
        <v>132</v>
      </c>
      <c r="O18" s="66" t="s">
        <v>132</v>
      </c>
      <c r="P18" s="55">
        <v>1.2955820145599301E-5</v>
      </c>
      <c r="Q18" s="59">
        <v>2.2316604647533198E-4</v>
      </c>
    </row>
    <row r="19" spans="1:17" ht="12.75" customHeight="1" x14ac:dyDescent="0.2">
      <c r="A19" s="23" t="s">
        <v>33</v>
      </c>
      <c r="B19" s="53">
        <v>8.5845059701550297E-4</v>
      </c>
      <c r="C19" s="67">
        <v>7.98014272823084E-4</v>
      </c>
      <c r="D19" s="67">
        <v>7.7734920873595705E-5</v>
      </c>
      <c r="E19" s="67">
        <v>2.1566463369430901E-3</v>
      </c>
      <c r="F19" s="67">
        <v>1.3126968000648701E-5</v>
      </c>
      <c r="G19" s="67">
        <v>7.6188040382620299E-4</v>
      </c>
      <c r="H19" s="67">
        <v>2.3496606743493502E-3</v>
      </c>
      <c r="I19" s="67">
        <v>2.7835644144097301E-3</v>
      </c>
      <c r="J19" s="67">
        <v>7.2198324003567806E-5</v>
      </c>
      <c r="K19" s="67">
        <v>2.09835610744974E-4</v>
      </c>
      <c r="L19" s="67">
        <v>4.9870639540154898E-3</v>
      </c>
      <c r="M19" s="67">
        <v>4.1896667490026702E-4</v>
      </c>
      <c r="N19" s="67" t="s">
        <v>132</v>
      </c>
      <c r="O19" s="67" t="s">
        <v>132</v>
      </c>
      <c r="P19" s="56">
        <v>1.8016349188356199E-4</v>
      </c>
      <c r="Q19" s="58">
        <v>1.5667306643789066E-2</v>
      </c>
    </row>
    <row r="20" spans="1:17" ht="12.75" customHeight="1" x14ac:dyDescent="0.2">
      <c r="A20" s="22" t="s">
        <v>34</v>
      </c>
      <c r="B20" s="54">
        <v>1.01917087315822E-3</v>
      </c>
      <c r="C20" s="66">
        <v>1.2147332252930799E-3</v>
      </c>
      <c r="D20" s="66">
        <v>1.0882442076505E-3</v>
      </c>
      <c r="E20" s="66">
        <v>2.0419728001009101E-5</v>
      </c>
      <c r="F20" s="66" t="s">
        <v>132</v>
      </c>
      <c r="G20" s="66" t="s">
        <v>132</v>
      </c>
      <c r="H20" s="66">
        <v>8.8109993920713701E-3</v>
      </c>
      <c r="I20" s="66">
        <v>1.28352576006343E-4</v>
      </c>
      <c r="J20" s="66" t="s">
        <v>132</v>
      </c>
      <c r="K20" s="66" t="s">
        <v>132</v>
      </c>
      <c r="L20" s="66">
        <v>3.0775447201520799E-4</v>
      </c>
      <c r="M20" s="66">
        <v>8.9700948004432698E-5</v>
      </c>
      <c r="N20" s="66" t="s">
        <v>132</v>
      </c>
      <c r="O20" s="66" t="s">
        <v>132</v>
      </c>
      <c r="P20" s="55" t="s">
        <v>132</v>
      </c>
      <c r="Q20" s="59">
        <v>1.2679375422200165E-2</v>
      </c>
    </row>
    <row r="21" spans="1:17" ht="12.75" customHeight="1" x14ac:dyDescent="0.2">
      <c r="A21" s="23" t="s">
        <v>35</v>
      </c>
      <c r="B21" s="53">
        <v>3.8173650478289499E-4</v>
      </c>
      <c r="C21" s="67">
        <v>2.3737590733034801E-3</v>
      </c>
      <c r="D21" s="67" t="s">
        <v>132</v>
      </c>
      <c r="E21" s="67">
        <v>3.9380904001946101E-5</v>
      </c>
      <c r="F21" s="67" t="s">
        <v>132</v>
      </c>
      <c r="G21" s="67">
        <v>1.09391400005406E-5</v>
      </c>
      <c r="H21" s="67">
        <v>6.3925271149098905E-4</v>
      </c>
      <c r="I21" s="67">
        <v>2.06861457459813E-4</v>
      </c>
      <c r="J21" s="67" t="s">
        <v>132</v>
      </c>
      <c r="K21" s="67">
        <v>2.0419728001009101E-5</v>
      </c>
      <c r="L21" s="67">
        <v>1.3350219258643299E-4</v>
      </c>
      <c r="M21" s="67">
        <v>7.8248364438743899E-5</v>
      </c>
      <c r="N21" s="67" t="s">
        <v>132</v>
      </c>
      <c r="O21" s="67" t="s">
        <v>132</v>
      </c>
      <c r="P21" s="56" t="s">
        <v>132</v>
      </c>
      <c r="Q21" s="58">
        <v>3.8841000760658495E-3</v>
      </c>
    </row>
    <row r="22" spans="1:17" ht="12.75" customHeight="1" x14ac:dyDescent="0.2">
      <c r="A22" s="22" t="s">
        <v>36</v>
      </c>
      <c r="B22" s="54">
        <v>6.1303868582865604E-5</v>
      </c>
      <c r="C22" s="66">
        <v>1.4585520000720801E-5</v>
      </c>
      <c r="D22" s="66" t="s">
        <v>132</v>
      </c>
      <c r="E22" s="66" t="s">
        <v>132</v>
      </c>
      <c r="F22" s="66" t="s">
        <v>132</v>
      </c>
      <c r="G22" s="66" t="s">
        <v>132</v>
      </c>
      <c r="H22" s="66">
        <v>6.7093392003315499E-5</v>
      </c>
      <c r="I22" s="66" t="s">
        <v>132</v>
      </c>
      <c r="J22" s="66" t="s">
        <v>132</v>
      </c>
      <c r="K22" s="66" t="s">
        <v>132</v>
      </c>
      <c r="L22" s="66" t="s">
        <v>132</v>
      </c>
      <c r="M22" s="66">
        <v>1.3326163074118999E-4</v>
      </c>
      <c r="N22" s="66" t="s">
        <v>132</v>
      </c>
      <c r="O22" s="66" t="s">
        <v>132</v>
      </c>
      <c r="P22" s="55">
        <v>5.8342080002882997E-6</v>
      </c>
      <c r="Q22" s="59">
        <v>2.820786193283802E-4</v>
      </c>
    </row>
    <row r="23" spans="1:17" ht="12.75" customHeight="1" x14ac:dyDescent="0.2">
      <c r="A23" s="23" t="s">
        <v>6</v>
      </c>
      <c r="B23" s="53">
        <v>1.2487420830771001E-3</v>
      </c>
      <c r="C23" s="67">
        <v>3.1801661105985502E-4</v>
      </c>
      <c r="D23" s="67">
        <v>4.3186067151997604E-6</v>
      </c>
      <c r="E23" s="67">
        <v>1.92332986744109E-4</v>
      </c>
      <c r="F23" s="67">
        <v>2.2322309576034899E-5</v>
      </c>
      <c r="G23" s="67">
        <v>1.4525598671279001E-4</v>
      </c>
      <c r="H23" s="67" t="s">
        <v>132</v>
      </c>
      <c r="I23" s="67">
        <v>3.1301818716533198E-5</v>
      </c>
      <c r="J23" s="67">
        <v>2.5911640291198601E-5</v>
      </c>
      <c r="K23" s="67">
        <v>6.2003882120693503E-5</v>
      </c>
      <c r="L23" s="67">
        <v>4.2847958277539598E-4</v>
      </c>
      <c r="M23" s="67">
        <v>5.3644819967133103E-4</v>
      </c>
      <c r="N23" s="67" t="s">
        <v>132</v>
      </c>
      <c r="O23" s="67" t="s">
        <v>132</v>
      </c>
      <c r="P23" s="56">
        <v>2.9171040001441499E-6</v>
      </c>
      <c r="Q23" s="58">
        <v>3.0180508114603854E-3</v>
      </c>
    </row>
    <row r="24" spans="1:17" ht="12.75" customHeight="1" thickBot="1" x14ac:dyDescent="0.25">
      <c r="A24" s="9" t="s">
        <v>37</v>
      </c>
      <c r="B24" s="10" t="s">
        <v>132</v>
      </c>
      <c r="C24" s="6">
        <v>1.1668416000576599E-5</v>
      </c>
      <c r="D24" s="6" t="s">
        <v>132</v>
      </c>
      <c r="E24" s="6">
        <v>1.4615892596237201E-4</v>
      </c>
      <c r="F24" s="6">
        <v>1.45855200007208E-6</v>
      </c>
      <c r="G24" s="6">
        <v>4.9191423007335299E-5</v>
      </c>
      <c r="H24" s="6" t="s">
        <v>132</v>
      </c>
      <c r="I24" s="6" t="s">
        <v>132</v>
      </c>
      <c r="J24" s="6">
        <v>2.9014386426921498E-4</v>
      </c>
      <c r="K24" s="6">
        <v>1.95535337169335E-4</v>
      </c>
      <c r="L24" s="6">
        <v>6.0534185685025103E-3</v>
      </c>
      <c r="M24" s="6">
        <v>7.5114473155537197E-4</v>
      </c>
      <c r="N24" s="6" t="s">
        <v>132</v>
      </c>
      <c r="O24" s="6" t="s">
        <v>132</v>
      </c>
      <c r="P24" s="7">
        <v>1.8231900000901E-5</v>
      </c>
      <c r="Q24" s="11">
        <v>7.516951718467689E-3</v>
      </c>
    </row>
    <row r="25" spans="1:17" ht="12.75" customHeight="1" thickTop="1" thickBot="1" x14ac:dyDescent="0.25">
      <c r="A25" s="8" t="s">
        <v>0</v>
      </c>
      <c r="B25" s="13">
        <v>4.9767397217722019E-3</v>
      </c>
      <c r="C25" s="73">
        <v>4.7307771184807957E-3</v>
      </c>
      <c r="D25" s="73">
        <v>4.4017743775004448E-3</v>
      </c>
      <c r="E25" s="73">
        <v>5.5667421669304863E-3</v>
      </c>
      <c r="F25" s="73">
        <v>1.0314134370698761E-3</v>
      </c>
      <c r="G25" s="73">
        <v>1.7345545396890885E-3</v>
      </c>
      <c r="H25" s="73">
        <v>1.1875028205915421E-2</v>
      </c>
      <c r="I25" s="73">
        <v>3.3632770109124905E-3</v>
      </c>
      <c r="J25" s="73">
        <v>5.25426959901282E-3</v>
      </c>
      <c r="K25" s="73">
        <v>2.9345294267917204E-3</v>
      </c>
      <c r="L25" s="73">
        <v>1.527211739680806E-2</v>
      </c>
      <c r="M25" s="73">
        <v>9.054466733214063E-3</v>
      </c>
      <c r="N25" s="73">
        <v>4.8075166717361999E-5</v>
      </c>
      <c r="O25" s="73">
        <v>5.2666655152466092E-5</v>
      </c>
      <c r="P25" s="15">
        <v>5.1001966679904329E-4</v>
      </c>
      <c r="Q25" s="12">
        <v>7.0806451222766326E-2</v>
      </c>
    </row>
    <row r="28" spans="1:17" ht="15" x14ac:dyDescent="0.25">
      <c r="A28" s="109" t="s">
        <v>108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</row>
    <row r="29" spans="1:17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ht="13.5" thickBot="1" x14ac:dyDescent="0.25">
      <c r="A30" s="31" t="s">
        <v>133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ht="39" thickBot="1" x14ac:dyDescent="0.25">
      <c r="A31" s="51" t="s">
        <v>88</v>
      </c>
      <c r="B31" s="52" t="s">
        <v>38</v>
      </c>
      <c r="C31" s="68" t="s">
        <v>39</v>
      </c>
      <c r="D31" s="68" t="s">
        <v>40</v>
      </c>
      <c r="E31" s="68" t="s">
        <v>41</v>
      </c>
      <c r="F31" s="68" t="s">
        <v>42</v>
      </c>
      <c r="G31" s="68" t="s">
        <v>43</v>
      </c>
      <c r="H31" s="68" t="s">
        <v>44</v>
      </c>
      <c r="I31" s="68" t="s">
        <v>45</v>
      </c>
      <c r="J31" s="68" t="s">
        <v>64</v>
      </c>
      <c r="K31" s="68" t="s">
        <v>46</v>
      </c>
      <c r="L31" s="68" t="s">
        <v>7</v>
      </c>
      <c r="M31" s="68" t="s">
        <v>76</v>
      </c>
      <c r="N31" s="68" t="s">
        <v>47</v>
      </c>
      <c r="O31" s="68" t="s">
        <v>48</v>
      </c>
      <c r="P31" s="57" t="s">
        <v>49</v>
      </c>
      <c r="Q31" s="50" t="s">
        <v>0</v>
      </c>
    </row>
    <row r="32" spans="1:17" x14ac:dyDescent="0.2">
      <c r="A32" s="49" t="s">
        <v>8</v>
      </c>
      <c r="B32" s="53" t="s">
        <v>132</v>
      </c>
      <c r="C32" s="67" t="s">
        <v>132</v>
      </c>
      <c r="D32" s="67" t="s">
        <v>132</v>
      </c>
      <c r="E32" s="67">
        <v>4.1748152372875501E-4</v>
      </c>
      <c r="F32" s="67">
        <v>5.4218379705033102E-6</v>
      </c>
      <c r="G32" s="67">
        <v>1.03014921439563E-4</v>
      </c>
      <c r="H32" s="67" t="s">
        <v>132</v>
      </c>
      <c r="I32" s="67">
        <v>5.9640217675536502E-5</v>
      </c>
      <c r="J32" s="67">
        <v>1.6861916088265301E-3</v>
      </c>
      <c r="K32" s="67">
        <v>4.3916887561076801E-4</v>
      </c>
      <c r="L32" s="67">
        <v>2.4940454664315202E-4</v>
      </c>
      <c r="M32" s="67" t="s">
        <v>132</v>
      </c>
      <c r="N32" s="67" t="s">
        <v>132</v>
      </c>
      <c r="O32" s="67" t="s">
        <v>132</v>
      </c>
      <c r="P32" s="56" t="s">
        <v>132</v>
      </c>
      <c r="Q32" s="58">
        <v>2.9603235318948081E-3</v>
      </c>
    </row>
    <row r="33" spans="1:17" x14ac:dyDescent="0.2">
      <c r="A33" s="48" t="s">
        <v>9</v>
      </c>
      <c r="B33" s="54">
        <v>1.2687100850977801E-3</v>
      </c>
      <c r="C33" s="66" t="s">
        <v>132</v>
      </c>
      <c r="D33" s="66">
        <v>2.40729605890347E-3</v>
      </c>
      <c r="E33" s="66">
        <v>1.0843675941006601E-3</v>
      </c>
      <c r="F33" s="66">
        <v>5.6387114893234505E-4</v>
      </c>
      <c r="G33" s="66">
        <v>5.0423093125680804E-4</v>
      </c>
      <c r="H33" s="66" t="s">
        <v>132</v>
      </c>
      <c r="I33" s="66">
        <v>1.1385859738057E-4</v>
      </c>
      <c r="J33" s="66">
        <v>1.6265513911509899E-4</v>
      </c>
      <c r="K33" s="66">
        <v>6.0182401472586803E-4</v>
      </c>
      <c r="L33" s="66">
        <v>1.04099289033664E-3</v>
      </c>
      <c r="M33" s="66">
        <v>1.3825686824783499E-3</v>
      </c>
      <c r="N33" s="66" t="s">
        <v>132</v>
      </c>
      <c r="O33" s="66" t="s">
        <v>132</v>
      </c>
      <c r="P33" s="55">
        <v>1.8976432896761599E-4</v>
      </c>
      <c r="Q33" s="59">
        <v>9.3201394712952076E-3</v>
      </c>
    </row>
    <row r="34" spans="1:17" x14ac:dyDescent="0.2">
      <c r="A34" s="49" t="s">
        <v>10</v>
      </c>
      <c r="B34" s="53" t="s">
        <v>132</v>
      </c>
      <c r="C34" s="67" t="s">
        <v>132</v>
      </c>
      <c r="D34" s="67">
        <v>5.4218379705033103E-5</v>
      </c>
      <c r="E34" s="67">
        <v>2.3313903273164299E-4</v>
      </c>
      <c r="F34" s="67" t="s">
        <v>132</v>
      </c>
      <c r="G34" s="67">
        <v>3.25310278230199E-5</v>
      </c>
      <c r="H34" s="67" t="s">
        <v>132</v>
      </c>
      <c r="I34" s="67">
        <v>1.08436759410066E-5</v>
      </c>
      <c r="J34" s="67">
        <v>2.1687351882013302E-5</v>
      </c>
      <c r="K34" s="67">
        <v>2.7109189852516599E-5</v>
      </c>
      <c r="L34" s="67">
        <v>7.5905731587046395E-5</v>
      </c>
      <c r="M34" s="67">
        <v>4.0121600981724497E-4</v>
      </c>
      <c r="N34" s="67" t="s">
        <v>132</v>
      </c>
      <c r="O34" s="67" t="s">
        <v>132</v>
      </c>
      <c r="P34" s="56">
        <v>1.08436759410066E-5</v>
      </c>
      <c r="Q34" s="58">
        <v>8.6749407528053052E-4</v>
      </c>
    </row>
    <row r="35" spans="1:17" x14ac:dyDescent="0.2">
      <c r="A35" s="48" t="s">
        <v>11</v>
      </c>
      <c r="B35" s="54" t="s">
        <v>132</v>
      </c>
      <c r="C35" s="66" t="s">
        <v>132</v>
      </c>
      <c r="D35" s="66">
        <v>1.4638962520358901E-4</v>
      </c>
      <c r="E35" s="66">
        <v>8.1327569557549699E-5</v>
      </c>
      <c r="F35" s="66" t="s">
        <v>132</v>
      </c>
      <c r="G35" s="66">
        <v>5.4218379705033102E-6</v>
      </c>
      <c r="H35" s="66" t="s">
        <v>132</v>
      </c>
      <c r="I35" s="66" t="s">
        <v>132</v>
      </c>
      <c r="J35" s="66">
        <v>8.4580672339851703E-4</v>
      </c>
      <c r="K35" s="66">
        <v>1.03014921439563E-4</v>
      </c>
      <c r="L35" s="66">
        <v>3.3073211620070198E-4</v>
      </c>
      <c r="M35" s="66">
        <v>8.2411937151650398E-4</v>
      </c>
      <c r="N35" s="66" t="s">
        <v>132</v>
      </c>
      <c r="O35" s="66" t="s">
        <v>132</v>
      </c>
      <c r="P35" s="55">
        <v>3.7952865793523197E-5</v>
      </c>
      <c r="Q35" s="59">
        <v>2.3747650310804512E-3</v>
      </c>
    </row>
    <row r="36" spans="1:17" x14ac:dyDescent="0.2">
      <c r="A36" s="49" t="s">
        <v>12</v>
      </c>
      <c r="B36" s="53" t="s">
        <v>132</v>
      </c>
      <c r="C36" s="67" t="s">
        <v>132</v>
      </c>
      <c r="D36" s="67" t="s">
        <v>132</v>
      </c>
      <c r="E36" s="67">
        <v>2.7109189852516599E-5</v>
      </c>
      <c r="F36" s="67">
        <v>1.08436759410066E-5</v>
      </c>
      <c r="G36" s="67">
        <v>2.1687351882013302E-5</v>
      </c>
      <c r="H36" s="67" t="s">
        <v>132</v>
      </c>
      <c r="I36" s="67" t="s">
        <v>132</v>
      </c>
      <c r="J36" s="67">
        <v>8.1327569557549699E-5</v>
      </c>
      <c r="K36" s="67">
        <v>1.08436759410066E-5</v>
      </c>
      <c r="L36" s="67">
        <v>6.28933204578384E-4</v>
      </c>
      <c r="M36" s="67">
        <v>2.2283754058768598E-3</v>
      </c>
      <c r="N36" s="67">
        <v>5.4218379705033102E-6</v>
      </c>
      <c r="O36" s="67">
        <v>5.4218379705033103E-5</v>
      </c>
      <c r="P36" s="56" t="s">
        <v>132</v>
      </c>
      <c r="Q36" s="58">
        <v>3.0687602913048728E-3</v>
      </c>
    </row>
    <row r="37" spans="1:17" x14ac:dyDescent="0.2">
      <c r="A37" s="48" t="s">
        <v>13</v>
      </c>
      <c r="B37" s="54" t="s">
        <v>132</v>
      </c>
      <c r="C37" s="66" t="s">
        <v>132</v>
      </c>
      <c r="D37" s="66" t="s">
        <v>132</v>
      </c>
      <c r="E37" s="66" t="s">
        <v>132</v>
      </c>
      <c r="F37" s="66" t="s">
        <v>132</v>
      </c>
      <c r="G37" s="66" t="s">
        <v>132</v>
      </c>
      <c r="H37" s="66" t="s">
        <v>132</v>
      </c>
      <c r="I37" s="66" t="s">
        <v>132</v>
      </c>
      <c r="J37" s="66" t="s">
        <v>132</v>
      </c>
      <c r="K37" s="66" t="s">
        <v>132</v>
      </c>
      <c r="L37" s="66">
        <v>5.4218379705033102E-6</v>
      </c>
      <c r="M37" s="66" t="s">
        <v>132</v>
      </c>
      <c r="N37" s="66" t="s">
        <v>132</v>
      </c>
      <c r="O37" s="66" t="s">
        <v>132</v>
      </c>
      <c r="P37" s="55" t="s">
        <v>132</v>
      </c>
      <c r="Q37" s="59">
        <v>5.4218379705033102E-6</v>
      </c>
    </row>
    <row r="38" spans="1:17" x14ac:dyDescent="0.2">
      <c r="A38" s="49" t="s">
        <v>14</v>
      </c>
      <c r="B38" s="53" t="s">
        <v>132</v>
      </c>
      <c r="C38" s="67" t="s">
        <v>132</v>
      </c>
      <c r="D38" s="67" t="s">
        <v>132</v>
      </c>
      <c r="E38" s="67" t="s">
        <v>132</v>
      </c>
      <c r="F38" s="67" t="s">
        <v>132</v>
      </c>
      <c r="G38" s="67" t="s">
        <v>132</v>
      </c>
      <c r="H38" s="67" t="s">
        <v>132</v>
      </c>
      <c r="I38" s="67" t="s">
        <v>132</v>
      </c>
      <c r="J38" s="67" t="s">
        <v>132</v>
      </c>
      <c r="K38" s="67" t="s">
        <v>132</v>
      </c>
      <c r="L38" s="67" t="s">
        <v>132</v>
      </c>
      <c r="M38" s="67">
        <v>1.6265513911509899E-5</v>
      </c>
      <c r="N38" s="67" t="s">
        <v>132</v>
      </c>
      <c r="O38" s="67" t="s">
        <v>132</v>
      </c>
      <c r="P38" s="56" t="s">
        <v>132</v>
      </c>
      <c r="Q38" s="58">
        <v>1.6265513911509899E-5</v>
      </c>
    </row>
    <row r="39" spans="1:17" x14ac:dyDescent="0.2">
      <c r="A39" s="48" t="s">
        <v>15</v>
      </c>
      <c r="B39" s="54" t="s">
        <v>132</v>
      </c>
      <c r="C39" s="66" t="s">
        <v>132</v>
      </c>
      <c r="D39" s="66" t="s">
        <v>132</v>
      </c>
      <c r="E39" s="66">
        <v>5.4218379705033102E-6</v>
      </c>
      <c r="F39" s="66" t="s">
        <v>132</v>
      </c>
      <c r="G39" s="66">
        <v>1.08436759410066E-5</v>
      </c>
      <c r="H39" s="66" t="s">
        <v>132</v>
      </c>
      <c r="I39" s="66" t="s">
        <v>132</v>
      </c>
      <c r="J39" s="66">
        <v>1.08436759410066E-5</v>
      </c>
      <c r="K39" s="66" t="s">
        <v>132</v>
      </c>
      <c r="L39" s="66">
        <v>1.35545949262583E-4</v>
      </c>
      <c r="M39" s="66">
        <v>5.4218379705033103E-5</v>
      </c>
      <c r="N39" s="66" t="s">
        <v>132</v>
      </c>
      <c r="O39" s="66" t="s">
        <v>132</v>
      </c>
      <c r="P39" s="55">
        <v>3.25310278230199E-5</v>
      </c>
      <c r="Q39" s="59">
        <v>2.4940454664315251E-4</v>
      </c>
    </row>
    <row r="40" spans="1:17" x14ac:dyDescent="0.2">
      <c r="A40" s="49" t="s">
        <v>16</v>
      </c>
      <c r="B40" s="53" t="s">
        <v>132</v>
      </c>
      <c r="C40" s="67" t="s">
        <v>132</v>
      </c>
      <c r="D40" s="67" t="s">
        <v>132</v>
      </c>
      <c r="E40" s="67" t="s">
        <v>132</v>
      </c>
      <c r="F40" s="67" t="s">
        <v>132</v>
      </c>
      <c r="G40" s="67" t="s">
        <v>132</v>
      </c>
      <c r="H40" s="67" t="s">
        <v>132</v>
      </c>
      <c r="I40" s="67" t="s">
        <v>132</v>
      </c>
      <c r="J40" s="67" t="s">
        <v>132</v>
      </c>
      <c r="K40" s="67" t="s">
        <v>132</v>
      </c>
      <c r="L40" s="67" t="s">
        <v>132</v>
      </c>
      <c r="M40" s="67" t="s">
        <v>132</v>
      </c>
      <c r="N40" s="67" t="s">
        <v>132</v>
      </c>
      <c r="O40" s="67" t="s">
        <v>132</v>
      </c>
      <c r="P40" s="56" t="s">
        <v>132</v>
      </c>
      <c r="Q40" s="58" t="s">
        <v>132</v>
      </c>
    </row>
    <row r="41" spans="1:17" x14ac:dyDescent="0.2">
      <c r="A41" s="48" t="s">
        <v>17</v>
      </c>
      <c r="B41" s="54" t="s">
        <v>132</v>
      </c>
      <c r="C41" s="66" t="s">
        <v>132</v>
      </c>
      <c r="D41" s="66" t="s">
        <v>132</v>
      </c>
      <c r="E41" s="66">
        <v>2.7109189852516599E-5</v>
      </c>
      <c r="F41" s="66">
        <v>2.7109189852516599E-5</v>
      </c>
      <c r="G41" s="66" t="s">
        <v>132</v>
      </c>
      <c r="H41" s="66" t="s">
        <v>132</v>
      </c>
      <c r="I41" s="66" t="s">
        <v>132</v>
      </c>
      <c r="J41" s="66">
        <v>5.4218379705033102E-6</v>
      </c>
      <c r="K41" s="66" t="s">
        <v>132</v>
      </c>
      <c r="L41" s="66">
        <v>1.6265513911509899E-5</v>
      </c>
      <c r="M41" s="66">
        <v>6.50620556460398E-5</v>
      </c>
      <c r="N41" s="66" t="s">
        <v>132</v>
      </c>
      <c r="O41" s="66" t="s">
        <v>132</v>
      </c>
      <c r="P41" s="55">
        <v>2.1687351882013302E-5</v>
      </c>
      <c r="Q41" s="59">
        <v>1.6265513911509951E-4</v>
      </c>
    </row>
    <row r="42" spans="1:17" x14ac:dyDescent="0.2">
      <c r="A42" s="49" t="s">
        <v>89</v>
      </c>
      <c r="B42" s="53" t="s">
        <v>132</v>
      </c>
      <c r="C42" s="67" t="s">
        <v>132</v>
      </c>
      <c r="D42" s="67" t="s">
        <v>132</v>
      </c>
      <c r="E42" s="67" t="s">
        <v>132</v>
      </c>
      <c r="F42" s="67" t="s">
        <v>132</v>
      </c>
      <c r="G42" s="67" t="s">
        <v>132</v>
      </c>
      <c r="H42" s="67" t="s">
        <v>132</v>
      </c>
      <c r="I42" s="67" t="s">
        <v>132</v>
      </c>
      <c r="J42" s="67" t="s">
        <v>132</v>
      </c>
      <c r="K42" s="67" t="s">
        <v>132</v>
      </c>
      <c r="L42" s="67" t="s">
        <v>132</v>
      </c>
      <c r="M42" s="67" t="s">
        <v>132</v>
      </c>
      <c r="N42" s="67" t="s">
        <v>132</v>
      </c>
      <c r="O42" s="67" t="s">
        <v>132</v>
      </c>
      <c r="P42" s="56" t="s">
        <v>132</v>
      </c>
      <c r="Q42" s="58" t="s">
        <v>132</v>
      </c>
    </row>
    <row r="43" spans="1:17" x14ac:dyDescent="0.2">
      <c r="A43" s="48" t="s">
        <v>79</v>
      </c>
      <c r="B43" s="54" t="s">
        <v>132</v>
      </c>
      <c r="C43" s="66" t="s">
        <v>132</v>
      </c>
      <c r="D43" s="66" t="s">
        <v>132</v>
      </c>
      <c r="E43" s="66" t="s">
        <v>132</v>
      </c>
      <c r="F43" s="66" t="s">
        <v>132</v>
      </c>
      <c r="G43" s="66" t="s">
        <v>132</v>
      </c>
      <c r="H43" s="66" t="s">
        <v>132</v>
      </c>
      <c r="I43" s="66" t="s">
        <v>132</v>
      </c>
      <c r="J43" s="66" t="s">
        <v>132</v>
      </c>
      <c r="K43" s="66" t="s">
        <v>132</v>
      </c>
      <c r="L43" s="66" t="s">
        <v>132</v>
      </c>
      <c r="M43" s="66" t="s">
        <v>132</v>
      </c>
      <c r="N43" s="66" t="s">
        <v>132</v>
      </c>
      <c r="O43" s="66" t="s">
        <v>132</v>
      </c>
      <c r="P43" s="55" t="s">
        <v>132</v>
      </c>
      <c r="Q43" s="59" t="s">
        <v>132</v>
      </c>
    </row>
    <row r="44" spans="1:17" x14ac:dyDescent="0.2">
      <c r="A44" s="49" t="s">
        <v>80</v>
      </c>
      <c r="B44" s="53" t="s">
        <v>132</v>
      </c>
      <c r="C44" s="67" t="s">
        <v>132</v>
      </c>
      <c r="D44" s="67" t="s">
        <v>132</v>
      </c>
      <c r="E44" s="67" t="s">
        <v>132</v>
      </c>
      <c r="F44" s="67" t="s">
        <v>132</v>
      </c>
      <c r="G44" s="67" t="s">
        <v>132</v>
      </c>
      <c r="H44" s="67" t="s">
        <v>132</v>
      </c>
      <c r="I44" s="67" t="s">
        <v>132</v>
      </c>
      <c r="J44" s="67" t="s">
        <v>132</v>
      </c>
      <c r="K44" s="67" t="s">
        <v>132</v>
      </c>
      <c r="L44" s="67">
        <v>5.4218379705033102E-6</v>
      </c>
      <c r="M44" s="67">
        <v>4.44590713581272E-4</v>
      </c>
      <c r="N44" s="67" t="s">
        <v>132</v>
      </c>
      <c r="O44" s="67" t="s">
        <v>132</v>
      </c>
      <c r="P44" s="56">
        <v>1.6265513911509899E-5</v>
      </c>
      <c r="Q44" s="58">
        <v>4.6627806546328517E-4</v>
      </c>
    </row>
    <row r="45" spans="1:17" x14ac:dyDescent="0.2">
      <c r="A45" s="48" t="s">
        <v>18</v>
      </c>
      <c r="B45" s="54" t="s">
        <v>132</v>
      </c>
      <c r="C45" s="66" t="s">
        <v>132</v>
      </c>
      <c r="D45" s="66" t="s">
        <v>132</v>
      </c>
      <c r="E45" s="66" t="s">
        <v>132</v>
      </c>
      <c r="F45" s="66" t="s">
        <v>132</v>
      </c>
      <c r="G45" s="66" t="s">
        <v>132</v>
      </c>
      <c r="H45" s="66" t="s">
        <v>132</v>
      </c>
      <c r="I45" s="66" t="s">
        <v>132</v>
      </c>
      <c r="J45" s="66" t="s">
        <v>132</v>
      </c>
      <c r="K45" s="66" t="s">
        <v>132</v>
      </c>
      <c r="L45" s="66" t="s">
        <v>132</v>
      </c>
      <c r="M45" s="66">
        <v>5.9640217675536502E-5</v>
      </c>
      <c r="N45" s="66" t="s">
        <v>132</v>
      </c>
      <c r="O45" s="66" t="s">
        <v>132</v>
      </c>
      <c r="P45" s="55" t="s">
        <v>132</v>
      </c>
      <c r="Q45" s="59">
        <v>5.9640217675536502E-5</v>
      </c>
    </row>
    <row r="46" spans="1:17" x14ac:dyDescent="0.2">
      <c r="A46" s="49" t="s">
        <v>78</v>
      </c>
      <c r="B46" s="53" t="s">
        <v>132</v>
      </c>
      <c r="C46" s="67" t="s">
        <v>132</v>
      </c>
      <c r="D46" s="67" t="s">
        <v>132</v>
      </c>
      <c r="E46" s="67">
        <v>1.8434249099711299E-4</v>
      </c>
      <c r="F46" s="67" t="s">
        <v>132</v>
      </c>
      <c r="G46" s="67" t="s">
        <v>132</v>
      </c>
      <c r="H46" s="67" t="s">
        <v>132</v>
      </c>
      <c r="I46" s="67" t="s">
        <v>132</v>
      </c>
      <c r="J46" s="67" t="s">
        <v>132</v>
      </c>
      <c r="K46" s="67">
        <v>1.08436759410066E-5</v>
      </c>
      <c r="L46" s="67">
        <v>5.9640217675536502E-5</v>
      </c>
      <c r="M46" s="67">
        <v>5.4218379705033102E-6</v>
      </c>
      <c r="N46" s="67" t="s">
        <v>132</v>
      </c>
      <c r="O46" s="67" t="s">
        <v>132</v>
      </c>
      <c r="P46" s="56">
        <v>1.6265513911509899E-5</v>
      </c>
      <c r="Q46" s="58">
        <v>2.7651373649566929E-4</v>
      </c>
    </row>
    <row r="47" spans="1:17" x14ac:dyDescent="0.2">
      <c r="A47" s="48" t="s">
        <v>33</v>
      </c>
      <c r="B47" s="54">
        <v>3.7952865793523197E-4</v>
      </c>
      <c r="C47" s="66">
        <v>5.36761959079828E-4</v>
      </c>
      <c r="D47" s="66">
        <v>9.7593083469059707E-5</v>
      </c>
      <c r="E47" s="66">
        <v>1.40425603436036E-3</v>
      </c>
      <c r="F47" s="66" t="s">
        <v>132</v>
      </c>
      <c r="G47" s="66">
        <v>5.7471482487335098E-4</v>
      </c>
      <c r="H47" s="66">
        <v>6.9941709819492802E-4</v>
      </c>
      <c r="I47" s="66">
        <v>1.8325812340301199E-3</v>
      </c>
      <c r="J47" s="66" t="s">
        <v>132</v>
      </c>
      <c r="K47" s="66">
        <v>1.57233301144596E-4</v>
      </c>
      <c r="L47" s="66">
        <v>2.88983963827827E-3</v>
      </c>
      <c r="M47" s="66">
        <v>1.7349881505610601E-4</v>
      </c>
      <c r="N47" s="66" t="s">
        <v>132</v>
      </c>
      <c r="O47" s="66" t="s">
        <v>132</v>
      </c>
      <c r="P47" s="55">
        <v>1.35545949262583E-4</v>
      </c>
      <c r="Q47" s="59">
        <v>8.8809705956844325E-3</v>
      </c>
    </row>
    <row r="48" spans="1:17" x14ac:dyDescent="0.2">
      <c r="A48" s="49" t="s">
        <v>34</v>
      </c>
      <c r="B48" s="53">
        <v>2.8735741243667598E-4</v>
      </c>
      <c r="C48" s="67">
        <v>6.8315158428341799E-4</v>
      </c>
      <c r="D48" s="67">
        <v>1.3012411129208E-3</v>
      </c>
      <c r="E48" s="67" t="s">
        <v>132</v>
      </c>
      <c r="F48" s="67" t="s">
        <v>132</v>
      </c>
      <c r="G48" s="67" t="s">
        <v>132</v>
      </c>
      <c r="H48" s="67">
        <v>1.6048640392689799E-3</v>
      </c>
      <c r="I48" s="67" t="s">
        <v>132</v>
      </c>
      <c r="J48" s="67" t="s">
        <v>132</v>
      </c>
      <c r="K48" s="67" t="s">
        <v>132</v>
      </c>
      <c r="L48" s="67" t="s">
        <v>132</v>
      </c>
      <c r="M48" s="67" t="s">
        <v>132</v>
      </c>
      <c r="N48" s="67" t="s">
        <v>132</v>
      </c>
      <c r="O48" s="67" t="s">
        <v>132</v>
      </c>
      <c r="P48" s="56" t="s">
        <v>132</v>
      </c>
      <c r="Q48" s="58">
        <v>3.8766141489098736E-3</v>
      </c>
    </row>
    <row r="49" spans="1:17" x14ac:dyDescent="0.2">
      <c r="A49" s="48" t="s">
        <v>35</v>
      </c>
      <c r="B49" s="54">
        <v>3.8495049590573499E-4</v>
      </c>
      <c r="C49" s="66">
        <v>1.4259433862423699E-3</v>
      </c>
      <c r="D49" s="66" t="s">
        <v>132</v>
      </c>
      <c r="E49" s="66" t="s">
        <v>132</v>
      </c>
      <c r="F49" s="66" t="s">
        <v>132</v>
      </c>
      <c r="G49" s="66" t="s">
        <v>132</v>
      </c>
      <c r="H49" s="66">
        <v>2.3856087070214601E-4</v>
      </c>
      <c r="I49" s="66">
        <v>1.6265513911509899E-4</v>
      </c>
      <c r="J49" s="66" t="s">
        <v>132</v>
      </c>
      <c r="K49" s="66" t="s">
        <v>132</v>
      </c>
      <c r="L49" s="66">
        <v>6.50620556460398E-5</v>
      </c>
      <c r="M49" s="66">
        <v>4.8796541734529799E-5</v>
      </c>
      <c r="N49" s="66" t="s">
        <v>132</v>
      </c>
      <c r="O49" s="66" t="s">
        <v>132</v>
      </c>
      <c r="P49" s="55" t="s">
        <v>132</v>
      </c>
      <c r="Q49" s="59">
        <v>2.3259684893459196E-3</v>
      </c>
    </row>
    <row r="50" spans="1:17" x14ac:dyDescent="0.2">
      <c r="A50" s="49" t="s">
        <v>36</v>
      </c>
      <c r="B50" s="53">
        <v>6.50620556460398E-5</v>
      </c>
      <c r="C50" s="67" t="s">
        <v>132</v>
      </c>
      <c r="D50" s="67" t="s">
        <v>132</v>
      </c>
      <c r="E50" s="67" t="s">
        <v>132</v>
      </c>
      <c r="F50" s="67" t="s">
        <v>132</v>
      </c>
      <c r="G50" s="67" t="s">
        <v>132</v>
      </c>
      <c r="H50" s="67" t="s">
        <v>132</v>
      </c>
      <c r="I50" s="67" t="s">
        <v>132</v>
      </c>
      <c r="J50" s="67" t="s">
        <v>132</v>
      </c>
      <c r="K50" s="67" t="s">
        <v>132</v>
      </c>
      <c r="L50" s="67" t="s">
        <v>132</v>
      </c>
      <c r="M50" s="67">
        <v>1.57233301144596E-4</v>
      </c>
      <c r="N50" s="67" t="s">
        <v>132</v>
      </c>
      <c r="O50" s="67" t="s">
        <v>132</v>
      </c>
      <c r="P50" s="56" t="s">
        <v>132</v>
      </c>
      <c r="Q50" s="58">
        <v>2.2229535679063579E-4</v>
      </c>
    </row>
    <row r="51" spans="1:17" x14ac:dyDescent="0.2">
      <c r="A51" s="48" t="s">
        <v>6</v>
      </c>
      <c r="B51" s="54">
        <v>1.3391939787143199E-3</v>
      </c>
      <c r="C51" s="66">
        <v>3.4157579214170899E-4</v>
      </c>
      <c r="D51" s="66">
        <v>5.4218379705033102E-6</v>
      </c>
      <c r="E51" s="66">
        <v>1.57233301144596E-4</v>
      </c>
      <c r="F51" s="66">
        <v>2.7109189852516599E-5</v>
      </c>
      <c r="G51" s="66">
        <v>1.53980198362294E-4</v>
      </c>
      <c r="H51" s="66" t="s">
        <v>132</v>
      </c>
      <c r="I51" s="66">
        <v>5.4218379705033102E-6</v>
      </c>
      <c r="J51" s="66">
        <v>3.25310278230199E-5</v>
      </c>
      <c r="K51" s="66">
        <v>4.8796541734529799E-5</v>
      </c>
      <c r="L51" s="66">
        <v>3.0904476431868898E-4</v>
      </c>
      <c r="M51" s="66">
        <v>3.69769349588326E-4</v>
      </c>
      <c r="N51" s="66" t="s">
        <v>132</v>
      </c>
      <c r="O51" s="66" t="s">
        <v>132</v>
      </c>
      <c r="P51" s="55" t="s">
        <v>132</v>
      </c>
      <c r="Q51" s="59">
        <v>2.7900778196210067E-3</v>
      </c>
    </row>
    <row r="52" spans="1:17" ht="13.5" thickBot="1" x14ac:dyDescent="0.25">
      <c r="A52" s="49" t="s">
        <v>37</v>
      </c>
      <c r="B52" s="53" t="s">
        <v>132</v>
      </c>
      <c r="C52" s="67" t="s">
        <v>132</v>
      </c>
      <c r="D52" s="67" t="s">
        <v>132</v>
      </c>
      <c r="E52" s="67">
        <v>1.4096778723308599E-4</v>
      </c>
      <c r="F52" s="67" t="s">
        <v>132</v>
      </c>
      <c r="G52" s="67">
        <v>3.7952865793523197E-5</v>
      </c>
      <c r="H52" s="67" t="s">
        <v>132</v>
      </c>
      <c r="I52" s="67" t="s">
        <v>132</v>
      </c>
      <c r="J52" s="67">
        <v>2.4940454664315202E-4</v>
      </c>
      <c r="K52" s="67">
        <v>1.3012411129208001E-4</v>
      </c>
      <c r="L52" s="67">
        <v>3.8549267970278602E-3</v>
      </c>
      <c r="M52" s="67">
        <v>6.9399526022442403E-4</v>
      </c>
      <c r="N52" s="67" t="s">
        <v>132</v>
      </c>
      <c r="O52" s="67" t="s">
        <v>132</v>
      </c>
      <c r="P52" s="56" t="s">
        <v>132</v>
      </c>
      <c r="Q52" s="58">
        <v>5.1073713682141253E-3</v>
      </c>
    </row>
    <row r="53" spans="1:17" ht="14.25" thickTop="1" thickBot="1" x14ac:dyDescent="0.25">
      <c r="A53" s="60" t="s">
        <v>0</v>
      </c>
      <c r="B53" s="61">
        <v>3.7248026857357825E-3</v>
      </c>
      <c r="C53" s="62">
        <v>2.987432721747325E-3</v>
      </c>
      <c r="D53" s="62">
        <v>4.0121600981724553E-3</v>
      </c>
      <c r="E53" s="62">
        <v>3.7627555515292992E-3</v>
      </c>
      <c r="F53" s="62">
        <v>6.3435504254888821E-4</v>
      </c>
      <c r="G53" s="62">
        <v>1.4443776353420823E-3</v>
      </c>
      <c r="H53" s="62">
        <v>2.5428420081660538E-3</v>
      </c>
      <c r="I53" s="62">
        <v>2.1850007021128352E-3</v>
      </c>
      <c r="J53" s="62">
        <v>3.0958694811573911E-3</v>
      </c>
      <c r="K53" s="62">
        <v>1.5289583076819348E-3</v>
      </c>
      <c r="L53" s="62">
        <v>9.6671371014074199E-3</v>
      </c>
      <c r="M53" s="62">
        <v>6.9247714559268351E-3</v>
      </c>
      <c r="N53" s="62">
        <v>5.4218379705033102E-6</v>
      </c>
      <c r="O53" s="62">
        <v>5.4218379705033103E-5</v>
      </c>
      <c r="P53" s="47">
        <v>4.6085622749278182E-4</v>
      </c>
      <c r="Q53" s="64">
        <v>4.3030959236696614E-2</v>
      </c>
    </row>
    <row r="56" spans="1:17" ht="15" x14ac:dyDescent="0.25">
      <c r="A56" s="109" t="s">
        <v>110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</row>
    <row r="57" spans="1:17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7" ht="13.5" thickBot="1" x14ac:dyDescent="0.25">
      <c r="A58" s="31" t="s">
        <v>133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1:17" ht="39" thickBot="1" x14ac:dyDescent="0.25">
      <c r="A59" s="51" t="s">
        <v>88</v>
      </c>
      <c r="B59" s="52" t="s">
        <v>38</v>
      </c>
      <c r="C59" s="68" t="s">
        <v>39</v>
      </c>
      <c r="D59" s="68" t="s">
        <v>40</v>
      </c>
      <c r="E59" s="68" t="s">
        <v>41</v>
      </c>
      <c r="F59" s="68" t="s">
        <v>42</v>
      </c>
      <c r="G59" s="68" t="s">
        <v>43</v>
      </c>
      <c r="H59" s="68" t="s">
        <v>44</v>
      </c>
      <c r="I59" s="68" t="s">
        <v>45</v>
      </c>
      <c r="J59" s="68" t="s">
        <v>64</v>
      </c>
      <c r="K59" s="68" t="s">
        <v>46</v>
      </c>
      <c r="L59" s="68" t="s">
        <v>7</v>
      </c>
      <c r="M59" s="68" t="s">
        <v>76</v>
      </c>
      <c r="N59" s="68" t="s">
        <v>47</v>
      </c>
      <c r="O59" s="68" t="s">
        <v>48</v>
      </c>
      <c r="P59" s="57" t="s">
        <v>49</v>
      </c>
      <c r="Q59" s="50" t="s">
        <v>0</v>
      </c>
    </row>
    <row r="60" spans="1:17" x14ac:dyDescent="0.2">
      <c r="A60" s="49" t="s">
        <v>8</v>
      </c>
      <c r="B60" s="53" t="s">
        <v>132</v>
      </c>
      <c r="C60" s="67" t="s">
        <v>132</v>
      </c>
      <c r="D60" s="67" t="s">
        <v>132</v>
      </c>
      <c r="E60" s="67">
        <v>2.8429018897877601E-3</v>
      </c>
      <c r="F60" s="67">
        <v>1.8520533483959302E-5</v>
      </c>
      <c r="G60" s="67">
        <v>6.38958405196597E-4</v>
      </c>
      <c r="H60" s="67">
        <v>1.8520533483959302E-5</v>
      </c>
      <c r="I60" s="67" t="s">
        <v>132</v>
      </c>
      <c r="J60" s="67">
        <v>1.34736881095804E-2</v>
      </c>
      <c r="K60" s="67">
        <v>2.2132037513331402E-3</v>
      </c>
      <c r="L60" s="67">
        <v>1.19457440971538E-3</v>
      </c>
      <c r="M60" s="67">
        <v>3.7041066967918698E-5</v>
      </c>
      <c r="N60" s="67" t="s">
        <v>132</v>
      </c>
      <c r="O60" s="67" t="s">
        <v>132</v>
      </c>
      <c r="P60" s="56" t="s">
        <v>132</v>
      </c>
      <c r="Q60" s="58">
        <v>2.0437408699549114E-2</v>
      </c>
    </row>
    <row r="61" spans="1:17" x14ac:dyDescent="0.2">
      <c r="A61" s="48" t="s">
        <v>9</v>
      </c>
      <c r="B61" s="54">
        <v>4.0374762995031297E-3</v>
      </c>
      <c r="C61" s="66" t="s">
        <v>132</v>
      </c>
      <c r="D61" s="66">
        <v>7.7601035297789603E-3</v>
      </c>
      <c r="E61" s="66">
        <v>9.7881019462725104E-3</v>
      </c>
      <c r="F61" s="66">
        <v>6.3432827182560696E-3</v>
      </c>
      <c r="G61" s="66">
        <v>2.0002176162676102E-3</v>
      </c>
      <c r="H61" s="66">
        <v>5.5561600451878003E-5</v>
      </c>
      <c r="I61" s="66">
        <v>7.3156107261639395E-4</v>
      </c>
      <c r="J61" s="66">
        <v>7.6860213958431195E-4</v>
      </c>
      <c r="K61" s="66">
        <v>1.5029412922233001E-2</v>
      </c>
      <c r="L61" s="66">
        <v>8.7879931381387097E-3</v>
      </c>
      <c r="M61" s="66">
        <v>7.2878299259379999E-3</v>
      </c>
      <c r="N61" s="66" t="s">
        <v>132</v>
      </c>
      <c r="O61" s="66" t="s">
        <v>132</v>
      </c>
      <c r="P61" s="55">
        <v>1.8520533483959301E-4</v>
      </c>
      <c r="Q61" s="59">
        <v>6.2775348243880175E-2</v>
      </c>
    </row>
    <row r="62" spans="1:17" x14ac:dyDescent="0.2">
      <c r="A62" s="49" t="s">
        <v>10</v>
      </c>
      <c r="B62" s="53">
        <v>8.2416374003619003E-4</v>
      </c>
      <c r="C62" s="67" t="s">
        <v>132</v>
      </c>
      <c r="D62" s="67">
        <v>3.3336960271126802E-4</v>
      </c>
      <c r="E62" s="67">
        <v>1.69462881378228E-3</v>
      </c>
      <c r="F62" s="67">
        <v>9.2602667419796695E-6</v>
      </c>
      <c r="G62" s="67">
        <v>2.7780800225939002E-5</v>
      </c>
      <c r="H62" s="67">
        <v>2.7780800225939002E-5</v>
      </c>
      <c r="I62" s="67">
        <v>1.1112320090375601E-4</v>
      </c>
      <c r="J62" s="67">
        <v>4.07451736647105E-4</v>
      </c>
      <c r="K62" s="67">
        <v>1.75945068097614E-4</v>
      </c>
      <c r="L62" s="67">
        <v>3.2410933596928798E-4</v>
      </c>
      <c r="M62" s="67">
        <v>2.7780800225938999E-3</v>
      </c>
      <c r="N62" s="67" t="s">
        <v>132</v>
      </c>
      <c r="O62" s="67" t="s">
        <v>132</v>
      </c>
      <c r="P62" s="56">
        <v>9.2602667419796695E-6</v>
      </c>
      <c r="Q62" s="58">
        <v>6.7229536546772398E-3</v>
      </c>
    </row>
    <row r="63" spans="1:17" x14ac:dyDescent="0.2">
      <c r="A63" s="48" t="s">
        <v>11</v>
      </c>
      <c r="B63" s="54" t="s">
        <v>132</v>
      </c>
      <c r="C63" s="66" t="s">
        <v>132</v>
      </c>
      <c r="D63" s="66">
        <v>6.2506800508362803E-3</v>
      </c>
      <c r="E63" s="66">
        <v>1.50016321220071E-3</v>
      </c>
      <c r="F63" s="66" t="s">
        <v>132</v>
      </c>
      <c r="G63" s="66">
        <v>5.5561600451878003E-5</v>
      </c>
      <c r="H63" s="66" t="s">
        <v>132</v>
      </c>
      <c r="I63" s="66" t="s">
        <v>132</v>
      </c>
      <c r="J63" s="66">
        <v>1.4279331316132699E-2</v>
      </c>
      <c r="K63" s="66">
        <v>8.8898560723004805E-4</v>
      </c>
      <c r="L63" s="66">
        <v>1.5186837456846599E-3</v>
      </c>
      <c r="M63" s="66">
        <v>3.2225728262089198E-3</v>
      </c>
      <c r="N63" s="66" t="s">
        <v>132</v>
      </c>
      <c r="O63" s="66">
        <v>1.2038346764573599E-4</v>
      </c>
      <c r="P63" s="55">
        <v>8.3342400677817005E-5</v>
      </c>
      <c r="Q63" s="59">
        <v>2.7919704227068753E-2</v>
      </c>
    </row>
    <row r="64" spans="1:17" x14ac:dyDescent="0.2">
      <c r="A64" s="49" t="s">
        <v>12</v>
      </c>
      <c r="B64" s="53" t="s">
        <v>132</v>
      </c>
      <c r="C64" s="67" t="s">
        <v>132</v>
      </c>
      <c r="D64" s="67" t="s">
        <v>132</v>
      </c>
      <c r="E64" s="67">
        <v>2.7780800225939002E-5</v>
      </c>
      <c r="F64" s="67">
        <v>6.4821867193857706E-5</v>
      </c>
      <c r="G64" s="67">
        <v>1.8520533483959302E-5</v>
      </c>
      <c r="H64" s="67" t="s">
        <v>132</v>
      </c>
      <c r="I64" s="67" t="s">
        <v>132</v>
      </c>
      <c r="J64" s="67">
        <v>1.9816970827836499E-3</v>
      </c>
      <c r="K64" s="67">
        <v>1.1112320090375601E-4</v>
      </c>
      <c r="L64" s="67">
        <v>2.4447104198826301E-3</v>
      </c>
      <c r="M64" s="67">
        <v>1.8492752683733401E-2</v>
      </c>
      <c r="N64" s="67">
        <v>5.5561600451877998E-4</v>
      </c>
      <c r="O64" s="67" t="s">
        <v>132</v>
      </c>
      <c r="P64" s="56">
        <v>3.7041066967918698E-5</v>
      </c>
      <c r="Q64" s="58">
        <v>2.3734063659693893E-2</v>
      </c>
    </row>
    <row r="65" spans="1:17" x14ac:dyDescent="0.2">
      <c r="A65" s="48" t="s">
        <v>13</v>
      </c>
      <c r="B65" s="54" t="s">
        <v>132</v>
      </c>
      <c r="C65" s="66" t="s">
        <v>132</v>
      </c>
      <c r="D65" s="66" t="s">
        <v>132</v>
      </c>
      <c r="E65" s="66" t="s">
        <v>132</v>
      </c>
      <c r="F65" s="66" t="s">
        <v>132</v>
      </c>
      <c r="G65" s="66" t="s">
        <v>132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>
        <v>9.2602667419796695E-5</v>
      </c>
      <c r="M65" s="66">
        <v>4.5375307035700401E-4</v>
      </c>
      <c r="N65" s="66" t="s">
        <v>132</v>
      </c>
      <c r="O65" s="66" t="s">
        <v>132</v>
      </c>
      <c r="P65" s="55">
        <v>1.8520533483959302E-5</v>
      </c>
      <c r="Q65" s="59">
        <v>5.6487627126076002E-4</v>
      </c>
    </row>
    <row r="66" spans="1:17" x14ac:dyDescent="0.2">
      <c r="A66" s="49" t="s">
        <v>14</v>
      </c>
      <c r="B66" s="53" t="s">
        <v>132</v>
      </c>
      <c r="C66" s="67" t="s">
        <v>132</v>
      </c>
      <c r="D66" s="67" t="s">
        <v>132</v>
      </c>
      <c r="E66" s="67">
        <v>9.2602667419796695E-6</v>
      </c>
      <c r="F66" s="67" t="s">
        <v>132</v>
      </c>
      <c r="G66" s="67" t="s">
        <v>132</v>
      </c>
      <c r="H66" s="67" t="s">
        <v>132</v>
      </c>
      <c r="I66" s="67" t="s">
        <v>132</v>
      </c>
      <c r="J66" s="67" t="s">
        <v>132</v>
      </c>
      <c r="K66" s="67" t="s">
        <v>132</v>
      </c>
      <c r="L66" s="67">
        <v>2.7780800225938999E-4</v>
      </c>
      <c r="M66" s="67">
        <v>1.8520533483959302E-5</v>
      </c>
      <c r="N66" s="67" t="s">
        <v>132</v>
      </c>
      <c r="O66" s="67" t="s">
        <v>132</v>
      </c>
      <c r="P66" s="56" t="s">
        <v>132</v>
      </c>
      <c r="Q66" s="58">
        <v>3.0558880248532898E-4</v>
      </c>
    </row>
    <row r="67" spans="1:17" x14ac:dyDescent="0.2">
      <c r="A67" s="48" t="s">
        <v>15</v>
      </c>
      <c r="B67" s="54" t="s">
        <v>132</v>
      </c>
      <c r="C67" s="66" t="s">
        <v>132</v>
      </c>
      <c r="D67" s="66" t="s">
        <v>132</v>
      </c>
      <c r="E67" s="66" t="s">
        <v>132</v>
      </c>
      <c r="F67" s="66" t="s">
        <v>132</v>
      </c>
      <c r="G67" s="66">
        <v>9.2602667419796695E-6</v>
      </c>
      <c r="H67" s="66" t="s">
        <v>132</v>
      </c>
      <c r="I67" s="66" t="s">
        <v>132</v>
      </c>
      <c r="J67" s="66">
        <v>1.2038346764573599E-4</v>
      </c>
      <c r="K67" s="66" t="s">
        <v>132</v>
      </c>
      <c r="L67" s="66">
        <v>1.2501360101672501E-3</v>
      </c>
      <c r="M67" s="66">
        <v>2.12986135065532E-4</v>
      </c>
      <c r="N67" s="66" t="s">
        <v>132</v>
      </c>
      <c r="O67" s="66" t="s">
        <v>132</v>
      </c>
      <c r="P67" s="55">
        <v>1.01862934161776E-4</v>
      </c>
      <c r="Q67" s="59">
        <v>1.6946288137822737E-3</v>
      </c>
    </row>
    <row r="68" spans="1:17" x14ac:dyDescent="0.2">
      <c r="A68" s="49" t="s">
        <v>16</v>
      </c>
      <c r="B68" s="53" t="s">
        <v>132</v>
      </c>
      <c r="C68" s="67" t="s">
        <v>132</v>
      </c>
      <c r="D68" s="67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 t="s">
        <v>132</v>
      </c>
      <c r="M68" s="67" t="s">
        <v>132</v>
      </c>
      <c r="N68" s="67" t="s">
        <v>132</v>
      </c>
      <c r="O68" s="67" t="s">
        <v>132</v>
      </c>
      <c r="P68" s="56" t="s">
        <v>132</v>
      </c>
      <c r="Q68" s="58" t="s">
        <v>132</v>
      </c>
    </row>
    <row r="69" spans="1:17" x14ac:dyDescent="0.2">
      <c r="A69" s="48" t="s">
        <v>17</v>
      </c>
      <c r="B69" s="54" t="s">
        <v>132</v>
      </c>
      <c r="C69" s="66" t="s">
        <v>132</v>
      </c>
      <c r="D69" s="66" t="s">
        <v>132</v>
      </c>
      <c r="E69" s="66">
        <v>1.1112320090375601E-4</v>
      </c>
      <c r="F69" s="66" t="s">
        <v>132</v>
      </c>
      <c r="G69" s="66">
        <v>1.8520533483959302E-5</v>
      </c>
      <c r="H69" s="66" t="s">
        <v>132</v>
      </c>
      <c r="I69" s="66" t="s">
        <v>132</v>
      </c>
      <c r="J69" s="66" t="s">
        <v>132</v>
      </c>
      <c r="K69" s="66">
        <v>5.5561600451878003E-5</v>
      </c>
      <c r="L69" s="66">
        <v>1.6668480135563401E-4</v>
      </c>
      <c r="M69" s="66">
        <v>8.3342400677817005E-5</v>
      </c>
      <c r="N69" s="66" t="s">
        <v>132</v>
      </c>
      <c r="O69" s="66" t="s">
        <v>132</v>
      </c>
      <c r="P69" s="55" t="s">
        <v>132</v>
      </c>
      <c r="Q69" s="59">
        <v>4.3523253687304431E-4</v>
      </c>
    </row>
    <row r="70" spans="1:17" x14ac:dyDescent="0.2">
      <c r="A70" s="49" t="s">
        <v>89</v>
      </c>
      <c r="B70" s="53" t="s">
        <v>132</v>
      </c>
      <c r="C70" s="67" t="s">
        <v>132</v>
      </c>
      <c r="D70" s="67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56" t="s">
        <v>132</v>
      </c>
      <c r="Q70" s="58" t="s">
        <v>132</v>
      </c>
    </row>
    <row r="71" spans="1:17" x14ac:dyDescent="0.2">
      <c r="A71" s="48" t="s">
        <v>79</v>
      </c>
      <c r="B71" s="54" t="s">
        <v>132</v>
      </c>
      <c r="C71" s="66" t="s">
        <v>132</v>
      </c>
      <c r="D71" s="66" t="s">
        <v>132</v>
      </c>
      <c r="E71" s="66">
        <v>7.0378027239045501E-4</v>
      </c>
      <c r="F71" s="66" t="s">
        <v>132</v>
      </c>
      <c r="G71" s="66">
        <v>9.2602667419796695E-6</v>
      </c>
      <c r="H71" s="66" t="s">
        <v>132</v>
      </c>
      <c r="I71" s="66" t="s">
        <v>132</v>
      </c>
      <c r="J71" s="66" t="s">
        <v>132</v>
      </c>
      <c r="K71" s="66" t="s">
        <v>132</v>
      </c>
      <c r="L71" s="66">
        <v>4.63013337098983E-5</v>
      </c>
      <c r="M71" s="66" t="s">
        <v>132</v>
      </c>
      <c r="N71" s="66" t="s">
        <v>132</v>
      </c>
      <c r="O71" s="66" t="s">
        <v>132</v>
      </c>
      <c r="P71" s="55" t="s">
        <v>132</v>
      </c>
      <c r="Q71" s="59">
        <v>7.5934187284233299E-4</v>
      </c>
    </row>
    <row r="72" spans="1:17" x14ac:dyDescent="0.2">
      <c r="A72" s="49" t="s">
        <v>80</v>
      </c>
      <c r="B72" s="53" t="s">
        <v>132</v>
      </c>
      <c r="C72" s="67" t="s">
        <v>132</v>
      </c>
      <c r="D72" s="67" t="s">
        <v>132</v>
      </c>
      <c r="E72" s="67" t="s">
        <v>132</v>
      </c>
      <c r="F72" s="67" t="s">
        <v>132</v>
      </c>
      <c r="G72" s="67">
        <v>9.2602667419796695E-6</v>
      </c>
      <c r="H72" s="67" t="s">
        <v>132</v>
      </c>
      <c r="I72" s="67" t="s">
        <v>132</v>
      </c>
      <c r="J72" s="67" t="s">
        <v>132</v>
      </c>
      <c r="K72" s="67" t="s">
        <v>132</v>
      </c>
      <c r="L72" s="67">
        <v>2.31506668549492E-4</v>
      </c>
      <c r="M72" s="67">
        <v>8.7046507374608905E-4</v>
      </c>
      <c r="N72" s="67" t="s">
        <v>132</v>
      </c>
      <c r="O72" s="67" t="s">
        <v>132</v>
      </c>
      <c r="P72" s="56">
        <v>1.2038346764573599E-4</v>
      </c>
      <c r="Q72" s="58">
        <v>1.2316154766832967E-3</v>
      </c>
    </row>
    <row r="73" spans="1:17" x14ac:dyDescent="0.2">
      <c r="A73" s="48" t="s">
        <v>18</v>
      </c>
      <c r="B73" s="54" t="s">
        <v>132</v>
      </c>
      <c r="C73" s="66" t="s">
        <v>132</v>
      </c>
      <c r="D73" s="66">
        <v>9.2602667419796695E-6</v>
      </c>
      <c r="E73" s="66">
        <v>9.2602667419796695E-6</v>
      </c>
      <c r="F73" s="66" t="s">
        <v>132</v>
      </c>
      <c r="G73" s="66" t="s">
        <v>132</v>
      </c>
      <c r="H73" s="66" t="s">
        <v>132</v>
      </c>
      <c r="I73" s="66" t="s">
        <v>132</v>
      </c>
      <c r="J73" s="66" t="s">
        <v>132</v>
      </c>
      <c r="K73" s="66" t="s">
        <v>132</v>
      </c>
      <c r="L73" s="66" t="s">
        <v>132</v>
      </c>
      <c r="M73" s="66" t="s">
        <v>132</v>
      </c>
      <c r="N73" s="66" t="s">
        <v>132</v>
      </c>
      <c r="O73" s="66" t="s">
        <v>132</v>
      </c>
      <c r="P73" s="55" t="s">
        <v>132</v>
      </c>
      <c r="Q73" s="59">
        <v>1.8520533483959339E-5</v>
      </c>
    </row>
    <row r="74" spans="1:17" x14ac:dyDescent="0.2">
      <c r="A74" s="49" t="s">
        <v>78</v>
      </c>
      <c r="B74" s="53" t="s">
        <v>132</v>
      </c>
      <c r="C74" s="67" t="s">
        <v>132</v>
      </c>
      <c r="D74" s="67" t="s">
        <v>132</v>
      </c>
      <c r="E74" s="67">
        <v>3.7041066967918698E-5</v>
      </c>
      <c r="F74" s="67" t="s">
        <v>132</v>
      </c>
      <c r="G74" s="67" t="s">
        <v>132</v>
      </c>
      <c r="H74" s="67" t="s">
        <v>132</v>
      </c>
      <c r="I74" s="67" t="s">
        <v>132</v>
      </c>
      <c r="J74" s="67" t="s">
        <v>132</v>
      </c>
      <c r="K74" s="67" t="s">
        <v>132</v>
      </c>
      <c r="L74" s="67" t="s">
        <v>132</v>
      </c>
      <c r="M74" s="67" t="s">
        <v>132</v>
      </c>
      <c r="N74" s="67" t="s">
        <v>132</v>
      </c>
      <c r="O74" s="67" t="s">
        <v>132</v>
      </c>
      <c r="P74" s="56" t="s">
        <v>132</v>
      </c>
      <c r="Q74" s="58">
        <v>3.7041066967918698E-5</v>
      </c>
    </row>
    <row r="75" spans="1:17" x14ac:dyDescent="0.2">
      <c r="A75" s="48" t="s">
        <v>33</v>
      </c>
      <c r="B75" s="54">
        <v>6.65813178748338E-3</v>
      </c>
      <c r="C75" s="66">
        <v>4.7042155049256702E-3</v>
      </c>
      <c r="D75" s="66" t="s">
        <v>132</v>
      </c>
      <c r="E75" s="66">
        <v>1.2677305169770199E-2</v>
      </c>
      <c r="F75" s="66">
        <v>1.6668480135563401E-4</v>
      </c>
      <c r="G75" s="66">
        <v>3.8615312314055198E-3</v>
      </c>
      <c r="H75" s="66">
        <v>2.2761735651785998E-2</v>
      </c>
      <c r="I75" s="66">
        <v>1.6381411866562001E-2</v>
      </c>
      <c r="J75" s="66">
        <v>9.1676640745598698E-4</v>
      </c>
      <c r="K75" s="66">
        <v>1.07419094206964E-3</v>
      </c>
      <c r="L75" s="66">
        <v>3.3864795475419603E-2</v>
      </c>
      <c r="M75" s="66">
        <v>3.5652026956621702E-3</v>
      </c>
      <c r="N75" s="66" t="s">
        <v>132</v>
      </c>
      <c r="O75" s="66" t="s">
        <v>132</v>
      </c>
      <c r="P75" s="55">
        <v>9.1676640745598698E-4</v>
      </c>
      <c r="Q75" s="59">
        <v>0.10754873794135178</v>
      </c>
    </row>
    <row r="76" spans="1:17" x14ac:dyDescent="0.2">
      <c r="A76" s="49" t="s">
        <v>34</v>
      </c>
      <c r="B76" s="53">
        <v>9.1769243413018509E-3</v>
      </c>
      <c r="C76" s="67">
        <v>8.2879387340717998E-3</v>
      </c>
      <c r="D76" s="67">
        <v>6.57478938680556E-4</v>
      </c>
      <c r="E76" s="67">
        <v>2.5928746877543099E-4</v>
      </c>
      <c r="F76" s="67" t="s">
        <v>132</v>
      </c>
      <c r="G76" s="67" t="s">
        <v>132</v>
      </c>
      <c r="H76" s="67">
        <v>9.5649295177908003E-2</v>
      </c>
      <c r="I76" s="67">
        <v>1.62980694658842E-3</v>
      </c>
      <c r="J76" s="67" t="s">
        <v>132</v>
      </c>
      <c r="K76" s="67" t="s">
        <v>132</v>
      </c>
      <c r="L76" s="67">
        <v>3.9078325651154197E-3</v>
      </c>
      <c r="M76" s="67">
        <v>1.1390128092635E-3</v>
      </c>
      <c r="N76" s="67" t="s">
        <v>132</v>
      </c>
      <c r="O76" s="67" t="s">
        <v>132</v>
      </c>
      <c r="P76" s="56" t="s">
        <v>132</v>
      </c>
      <c r="Q76" s="58">
        <v>0.12070757698170496</v>
      </c>
    </row>
    <row r="77" spans="1:17" x14ac:dyDescent="0.2">
      <c r="A77" s="48" t="s">
        <v>35</v>
      </c>
      <c r="B77" s="54">
        <v>9.5380747442390596E-4</v>
      </c>
      <c r="C77" s="66">
        <v>1.5492426259332E-2</v>
      </c>
      <c r="D77" s="66" t="s">
        <v>132</v>
      </c>
      <c r="E77" s="66">
        <v>5.00054404066902E-4</v>
      </c>
      <c r="F77" s="66" t="s">
        <v>132</v>
      </c>
      <c r="G77" s="66">
        <v>1.3890400112969499E-4</v>
      </c>
      <c r="H77" s="66">
        <v>5.70432431305947E-3</v>
      </c>
      <c r="I77" s="66">
        <v>9.81588274649845E-4</v>
      </c>
      <c r="J77" s="66" t="s">
        <v>132</v>
      </c>
      <c r="K77" s="66">
        <v>2.5928746877543099E-4</v>
      </c>
      <c r="L77" s="66">
        <v>1.0371498751017201E-3</v>
      </c>
      <c r="M77" s="66">
        <v>5.00054404066902E-4</v>
      </c>
      <c r="N77" s="66" t="s">
        <v>132</v>
      </c>
      <c r="O77" s="66" t="s">
        <v>132</v>
      </c>
      <c r="P77" s="55" t="s">
        <v>132</v>
      </c>
      <c r="Q77" s="59">
        <v>2.5567596474605877E-2</v>
      </c>
    </row>
    <row r="78" spans="1:17" x14ac:dyDescent="0.2">
      <c r="A78" s="49" t="s">
        <v>36</v>
      </c>
      <c r="B78" s="53">
        <v>1.2038346764573599E-4</v>
      </c>
      <c r="C78" s="67">
        <v>1.8520533483959301E-4</v>
      </c>
      <c r="D78" s="67" t="s">
        <v>132</v>
      </c>
      <c r="E78" s="67" t="s">
        <v>132</v>
      </c>
      <c r="F78" s="67" t="s">
        <v>132</v>
      </c>
      <c r="G78" s="67" t="s">
        <v>132</v>
      </c>
      <c r="H78" s="67">
        <v>8.5194454026212897E-4</v>
      </c>
      <c r="I78" s="67" t="s">
        <v>132</v>
      </c>
      <c r="J78" s="67" t="s">
        <v>132</v>
      </c>
      <c r="K78" s="67" t="s">
        <v>132</v>
      </c>
      <c r="L78" s="67" t="s">
        <v>132</v>
      </c>
      <c r="M78" s="67">
        <v>1.01862934161776E-4</v>
      </c>
      <c r="N78" s="67" t="s">
        <v>132</v>
      </c>
      <c r="O78" s="67" t="s">
        <v>132</v>
      </c>
      <c r="P78" s="56">
        <v>7.4082133935837301E-5</v>
      </c>
      <c r="Q78" s="58">
        <v>1.3334784108450714E-3</v>
      </c>
    </row>
    <row r="79" spans="1:17" x14ac:dyDescent="0.2">
      <c r="A79" s="48" t="s">
        <v>6</v>
      </c>
      <c r="B79" s="54">
        <v>2.1854229511072002E-3</v>
      </c>
      <c r="C79" s="66">
        <v>5.8339680474471902E-4</v>
      </c>
      <c r="D79" s="66" t="s">
        <v>132</v>
      </c>
      <c r="E79" s="66">
        <v>8.5194454026212897E-4</v>
      </c>
      <c r="F79" s="66">
        <v>9.2602667419796695E-6</v>
      </c>
      <c r="G79" s="66">
        <v>2.8706826900136998E-4</v>
      </c>
      <c r="H79" s="66" t="s">
        <v>132</v>
      </c>
      <c r="I79" s="66">
        <v>3.4262986945324801E-4</v>
      </c>
      <c r="J79" s="66" t="s">
        <v>132</v>
      </c>
      <c r="K79" s="66">
        <v>2.6854773551741E-4</v>
      </c>
      <c r="L79" s="66">
        <v>2.3150666854949201E-3</v>
      </c>
      <c r="M79" s="66">
        <v>3.0466277581113099E-3</v>
      </c>
      <c r="N79" s="66" t="s">
        <v>132</v>
      </c>
      <c r="O79" s="66" t="s">
        <v>132</v>
      </c>
      <c r="P79" s="55">
        <v>3.7041066967918698E-5</v>
      </c>
      <c r="Q79" s="59">
        <v>9.9270059474022045E-3</v>
      </c>
    </row>
    <row r="80" spans="1:17" ht="13.5" thickBot="1" x14ac:dyDescent="0.25">
      <c r="A80" s="49" t="s">
        <v>37</v>
      </c>
      <c r="B80" s="53" t="s">
        <v>132</v>
      </c>
      <c r="C80" s="67">
        <v>1.4816426787167501E-4</v>
      </c>
      <c r="D80" s="67" t="s">
        <v>132</v>
      </c>
      <c r="E80" s="67">
        <v>3.7967093642116601E-4</v>
      </c>
      <c r="F80" s="67">
        <v>1.8520533483959302E-5</v>
      </c>
      <c r="G80" s="67">
        <v>2.4076693529147101E-4</v>
      </c>
      <c r="H80" s="67" t="s">
        <v>132</v>
      </c>
      <c r="I80" s="67" t="s">
        <v>132</v>
      </c>
      <c r="J80" s="67">
        <v>1.11123200903756E-3</v>
      </c>
      <c r="K80" s="67">
        <v>1.16679360948944E-3</v>
      </c>
      <c r="L80" s="67">
        <v>3.7068847768144599E-2</v>
      </c>
      <c r="M80" s="67">
        <v>2.51879255381847E-3</v>
      </c>
      <c r="N80" s="67" t="s">
        <v>132</v>
      </c>
      <c r="O80" s="67" t="s">
        <v>132</v>
      </c>
      <c r="P80" s="56">
        <v>2.31506668549492E-4</v>
      </c>
      <c r="Q80" s="58">
        <v>4.2884295282107833E-2</v>
      </c>
    </row>
    <row r="81" spans="1:17" ht="14.25" thickTop="1" thickBot="1" x14ac:dyDescent="0.25">
      <c r="A81" s="60" t="s">
        <v>0</v>
      </c>
      <c r="B81" s="61">
        <v>2.3956310061501392E-2</v>
      </c>
      <c r="C81" s="62">
        <v>2.9401346905785459E-2</v>
      </c>
      <c r="D81" s="62">
        <v>1.5010892388749045E-2</v>
      </c>
      <c r="E81" s="62">
        <v>3.1392304255311122E-2</v>
      </c>
      <c r="F81" s="62">
        <v>6.63035098725744E-3</v>
      </c>
      <c r="G81" s="62">
        <v>7.3156107261639382E-3</v>
      </c>
      <c r="H81" s="62">
        <v>0.12506916261717738</v>
      </c>
      <c r="I81" s="62">
        <v>2.0178121230773668E-2</v>
      </c>
      <c r="J81" s="62">
        <v>3.3059152268867451E-2</v>
      </c>
      <c r="K81" s="62">
        <v>2.1243051906101363E-2</v>
      </c>
      <c r="L81" s="62">
        <v>9.4528802902128395E-2</v>
      </c>
      <c r="M81" s="62">
        <v>4.4328896893856676E-2</v>
      </c>
      <c r="N81" s="62">
        <v>5.5561600451877998E-4</v>
      </c>
      <c r="O81" s="62">
        <v>1.2038346764573599E-4</v>
      </c>
      <c r="P81" s="63">
        <v>1.8150122814280148E-3</v>
      </c>
      <c r="Q81" s="64">
        <v>0.45460501489726585</v>
      </c>
    </row>
    <row r="84" spans="1:17" ht="15" x14ac:dyDescent="0.25">
      <c r="A84" s="109" t="s">
        <v>112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</row>
    <row r="85" spans="1:17" x14ac:dyDescent="0.2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1:17" ht="13.5" thickBot="1" x14ac:dyDescent="0.25">
      <c r="A86" s="31" t="s">
        <v>133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1:17" ht="39" thickBot="1" x14ac:dyDescent="0.25">
      <c r="A87" s="51" t="s">
        <v>88</v>
      </c>
      <c r="B87" s="52" t="s">
        <v>38</v>
      </c>
      <c r="C87" s="68" t="s">
        <v>39</v>
      </c>
      <c r="D87" s="68" t="s">
        <v>40</v>
      </c>
      <c r="E87" s="68" t="s">
        <v>41</v>
      </c>
      <c r="F87" s="68" t="s">
        <v>42</v>
      </c>
      <c r="G87" s="68" t="s">
        <v>43</v>
      </c>
      <c r="H87" s="68" t="s">
        <v>44</v>
      </c>
      <c r="I87" s="68" t="s">
        <v>45</v>
      </c>
      <c r="J87" s="68" t="s">
        <v>64</v>
      </c>
      <c r="K87" s="68" t="s">
        <v>46</v>
      </c>
      <c r="L87" s="68" t="s">
        <v>7</v>
      </c>
      <c r="M87" s="68" t="s">
        <v>76</v>
      </c>
      <c r="N87" s="68" t="s">
        <v>47</v>
      </c>
      <c r="O87" s="68" t="s">
        <v>48</v>
      </c>
      <c r="P87" s="57" t="s">
        <v>49</v>
      </c>
      <c r="Q87" s="50" t="s">
        <v>0</v>
      </c>
    </row>
    <row r="88" spans="1:17" x14ac:dyDescent="0.2">
      <c r="A88" s="49" t="s">
        <v>8</v>
      </c>
      <c r="B88" s="53" t="s">
        <v>132</v>
      </c>
      <c r="C88" s="67" t="s">
        <v>132</v>
      </c>
      <c r="D88" s="67" t="s">
        <v>132</v>
      </c>
      <c r="E88" s="67">
        <v>1.91211291664144E-4</v>
      </c>
      <c r="F88" s="67" t="s">
        <v>132</v>
      </c>
      <c r="G88" s="67" t="s">
        <v>132</v>
      </c>
      <c r="H88" s="67" t="s">
        <v>132</v>
      </c>
      <c r="I88" s="67" t="s">
        <v>132</v>
      </c>
      <c r="J88" s="67">
        <v>1.2269391215115901E-3</v>
      </c>
      <c r="K88" s="67">
        <v>2.7088266319087002E-4</v>
      </c>
      <c r="L88" s="67">
        <v>1.27474194442763E-4</v>
      </c>
      <c r="M88" s="67" t="s">
        <v>132</v>
      </c>
      <c r="N88" s="67" t="s">
        <v>132</v>
      </c>
      <c r="O88" s="67" t="s">
        <v>132</v>
      </c>
      <c r="P88" s="56" t="s">
        <v>132</v>
      </c>
      <c r="Q88" s="58">
        <v>1.8165072708093669E-3</v>
      </c>
    </row>
    <row r="89" spans="1:17" x14ac:dyDescent="0.2">
      <c r="A89" s="48" t="s">
        <v>9</v>
      </c>
      <c r="B89" s="54">
        <v>1.11539920137417E-4</v>
      </c>
      <c r="C89" s="66" t="s">
        <v>132</v>
      </c>
      <c r="D89" s="66">
        <v>1.91211291664144E-4</v>
      </c>
      <c r="E89" s="66">
        <v>1.59342743053453E-4</v>
      </c>
      <c r="F89" s="66">
        <v>3.1868548610690602E-5</v>
      </c>
      <c r="G89" s="66">
        <v>6.3737097221381299E-5</v>
      </c>
      <c r="H89" s="66" t="s">
        <v>132</v>
      </c>
      <c r="I89" s="66" t="s">
        <v>132</v>
      </c>
      <c r="J89" s="66" t="s">
        <v>132</v>
      </c>
      <c r="K89" s="66">
        <v>6.3737097221381299E-5</v>
      </c>
      <c r="L89" s="66">
        <v>1.27474194442763E-4</v>
      </c>
      <c r="M89" s="66">
        <v>1.7527701735879799E-4</v>
      </c>
      <c r="N89" s="66" t="s">
        <v>132</v>
      </c>
      <c r="O89" s="66" t="s">
        <v>132</v>
      </c>
      <c r="P89" s="55" t="s">
        <v>132</v>
      </c>
      <c r="Q89" s="59">
        <v>9.2418790971002815E-4</v>
      </c>
    </row>
    <row r="90" spans="1:17" x14ac:dyDescent="0.2">
      <c r="A90" s="49" t="s">
        <v>10</v>
      </c>
      <c r="B90" s="53" t="s">
        <v>132</v>
      </c>
      <c r="C90" s="67" t="s">
        <v>132</v>
      </c>
      <c r="D90" s="67" t="s">
        <v>132</v>
      </c>
      <c r="E90" s="67">
        <v>7.9671371526726596E-5</v>
      </c>
      <c r="F90" s="67" t="s">
        <v>132</v>
      </c>
      <c r="G90" s="67" t="s">
        <v>132</v>
      </c>
      <c r="H90" s="67" t="s">
        <v>132</v>
      </c>
      <c r="I90" s="67" t="s">
        <v>132</v>
      </c>
      <c r="J90" s="67" t="s">
        <v>132</v>
      </c>
      <c r="K90" s="67" t="s">
        <v>132</v>
      </c>
      <c r="L90" s="67" t="s">
        <v>132</v>
      </c>
      <c r="M90" s="67" t="s">
        <v>132</v>
      </c>
      <c r="N90" s="67" t="s">
        <v>132</v>
      </c>
      <c r="O90" s="67" t="s">
        <v>132</v>
      </c>
      <c r="P90" s="56" t="s">
        <v>132</v>
      </c>
      <c r="Q90" s="58">
        <v>7.9671371526726596E-5</v>
      </c>
    </row>
    <row r="91" spans="1:17" x14ac:dyDescent="0.2">
      <c r="A91" s="48" t="s">
        <v>11</v>
      </c>
      <c r="B91" s="54" t="s">
        <v>132</v>
      </c>
      <c r="C91" s="66" t="s">
        <v>132</v>
      </c>
      <c r="D91" s="66" t="s">
        <v>132</v>
      </c>
      <c r="E91" s="66" t="s">
        <v>132</v>
      </c>
      <c r="F91" s="66" t="s">
        <v>132</v>
      </c>
      <c r="G91" s="66" t="s">
        <v>132</v>
      </c>
      <c r="H91" s="66" t="s">
        <v>132</v>
      </c>
      <c r="I91" s="66" t="s">
        <v>132</v>
      </c>
      <c r="J91" s="66">
        <v>7.9671371526726596E-5</v>
      </c>
      <c r="K91" s="66" t="s">
        <v>132</v>
      </c>
      <c r="L91" s="66" t="s">
        <v>132</v>
      </c>
      <c r="M91" s="66">
        <v>6.3737097221381299E-5</v>
      </c>
      <c r="N91" s="66" t="s">
        <v>132</v>
      </c>
      <c r="O91" s="66" t="s">
        <v>132</v>
      </c>
      <c r="P91" s="55" t="s">
        <v>132</v>
      </c>
      <c r="Q91" s="59">
        <v>1.4340846874810791E-4</v>
      </c>
    </row>
    <row r="92" spans="1:17" x14ac:dyDescent="0.2">
      <c r="A92" s="49" t="s">
        <v>12</v>
      </c>
      <c r="B92" s="53" t="s">
        <v>132</v>
      </c>
      <c r="C92" s="67" t="s">
        <v>132</v>
      </c>
      <c r="D92" s="67" t="s">
        <v>132</v>
      </c>
      <c r="E92" s="67" t="s">
        <v>132</v>
      </c>
      <c r="F92" s="67" t="s">
        <v>132</v>
      </c>
      <c r="G92" s="67" t="s">
        <v>132</v>
      </c>
      <c r="H92" s="67" t="s">
        <v>132</v>
      </c>
      <c r="I92" s="67" t="s">
        <v>132</v>
      </c>
      <c r="J92" s="67">
        <v>1.4340846874810799E-4</v>
      </c>
      <c r="K92" s="67" t="s">
        <v>132</v>
      </c>
      <c r="L92" s="67">
        <v>7.9671371526726596E-5</v>
      </c>
      <c r="M92" s="67">
        <v>1.11539920137417E-4</v>
      </c>
      <c r="N92" s="67" t="s">
        <v>132</v>
      </c>
      <c r="O92" s="67" t="s">
        <v>132</v>
      </c>
      <c r="P92" s="56" t="s">
        <v>132</v>
      </c>
      <c r="Q92" s="58">
        <v>3.3461976041225159E-4</v>
      </c>
    </row>
    <row r="93" spans="1:17" x14ac:dyDescent="0.2">
      <c r="A93" s="48" t="s">
        <v>13</v>
      </c>
      <c r="B93" s="54" t="s">
        <v>132</v>
      </c>
      <c r="C93" s="66" t="s">
        <v>132</v>
      </c>
      <c r="D93" s="66" t="s">
        <v>132</v>
      </c>
      <c r="E93" s="66" t="s">
        <v>132</v>
      </c>
      <c r="F93" s="66" t="s">
        <v>132</v>
      </c>
      <c r="G93" s="66" t="s">
        <v>132</v>
      </c>
      <c r="H93" s="66" t="s">
        <v>132</v>
      </c>
      <c r="I93" s="66" t="s">
        <v>132</v>
      </c>
      <c r="J93" s="66" t="s">
        <v>132</v>
      </c>
      <c r="K93" s="66" t="s">
        <v>132</v>
      </c>
      <c r="L93" s="66" t="s">
        <v>132</v>
      </c>
      <c r="M93" s="66" t="s">
        <v>132</v>
      </c>
      <c r="N93" s="66" t="s">
        <v>132</v>
      </c>
      <c r="O93" s="66" t="s">
        <v>132</v>
      </c>
      <c r="P93" s="55" t="s">
        <v>132</v>
      </c>
      <c r="Q93" s="59" t="s">
        <v>132</v>
      </c>
    </row>
    <row r="94" spans="1:17" x14ac:dyDescent="0.2">
      <c r="A94" s="49" t="s">
        <v>14</v>
      </c>
      <c r="B94" s="53" t="s">
        <v>132</v>
      </c>
      <c r="C94" s="67" t="s">
        <v>132</v>
      </c>
      <c r="D94" s="67" t="s">
        <v>132</v>
      </c>
      <c r="E94" s="67" t="s">
        <v>132</v>
      </c>
      <c r="F94" s="67" t="s">
        <v>132</v>
      </c>
      <c r="G94" s="67" t="s">
        <v>132</v>
      </c>
      <c r="H94" s="67" t="s">
        <v>132</v>
      </c>
      <c r="I94" s="67" t="s">
        <v>132</v>
      </c>
      <c r="J94" s="67" t="s">
        <v>132</v>
      </c>
      <c r="K94" s="67" t="s">
        <v>132</v>
      </c>
      <c r="L94" s="67" t="s">
        <v>132</v>
      </c>
      <c r="M94" s="67" t="s">
        <v>132</v>
      </c>
      <c r="N94" s="67" t="s">
        <v>132</v>
      </c>
      <c r="O94" s="67" t="s">
        <v>132</v>
      </c>
      <c r="P94" s="56" t="s">
        <v>132</v>
      </c>
      <c r="Q94" s="58" t="s">
        <v>132</v>
      </c>
    </row>
    <row r="95" spans="1:17" x14ac:dyDescent="0.2">
      <c r="A95" s="48" t="s">
        <v>15</v>
      </c>
      <c r="B95" s="54" t="s">
        <v>132</v>
      </c>
      <c r="C95" s="66" t="s">
        <v>132</v>
      </c>
      <c r="D95" s="66" t="s">
        <v>132</v>
      </c>
      <c r="E95" s="66" t="s">
        <v>132</v>
      </c>
      <c r="F95" s="66" t="s">
        <v>132</v>
      </c>
      <c r="G95" s="66" t="s">
        <v>132</v>
      </c>
      <c r="H95" s="66" t="s">
        <v>132</v>
      </c>
      <c r="I95" s="66" t="s">
        <v>132</v>
      </c>
      <c r="J95" s="66" t="s">
        <v>132</v>
      </c>
      <c r="K95" s="66" t="s">
        <v>132</v>
      </c>
      <c r="L95" s="66" t="s">
        <v>132</v>
      </c>
      <c r="M95" s="66" t="s">
        <v>132</v>
      </c>
      <c r="N95" s="66" t="s">
        <v>132</v>
      </c>
      <c r="O95" s="66" t="s">
        <v>132</v>
      </c>
      <c r="P95" s="55" t="s">
        <v>132</v>
      </c>
      <c r="Q95" s="59" t="s">
        <v>132</v>
      </c>
    </row>
    <row r="96" spans="1:17" x14ac:dyDescent="0.2">
      <c r="A96" s="49" t="s">
        <v>16</v>
      </c>
      <c r="B96" s="53" t="s">
        <v>132</v>
      </c>
      <c r="C96" s="67" t="s">
        <v>132</v>
      </c>
      <c r="D96" s="67" t="s">
        <v>132</v>
      </c>
      <c r="E96" s="67" t="s">
        <v>132</v>
      </c>
      <c r="F96" s="67" t="s">
        <v>132</v>
      </c>
      <c r="G96" s="67" t="s">
        <v>132</v>
      </c>
      <c r="H96" s="67" t="s">
        <v>132</v>
      </c>
      <c r="I96" s="67" t="s">
        <v>132</v>
      </c>
      <c r="J96" s="67" t="s">
        <v>132</v>
      </c>
      <c r="K96" s="67" t="s">
        <v>132</v>
      </c>
      <c r="L96" s="67" t="s">
        <v>132</v>
      </c>
      <c r="M96" s="67" t="s">
        <v>132</v>
      </c>
      <c r="N96" s="67" t="s">
        <v>132</v>
      </c>
      <c r="O96" s="67" t="s">
        <v>132</v>
      </c>
      <c r="P96" s="56" t="s">
        <v>132</v>
      </c>
      <c r="Q96" s="58" t="s">
        <v>132</v>
      </c>
    </row>
    <row r="97" spans="1:17" x14ac:dyDescent="0.2">
      <c r="A97" s="48" t="s">
        <v>17</v>
      </c>
      <c r="B97" s="54" t="s">
        <v>132</v>
      </c>
      <c r="C97" s="66" t="s">
        <v>132</v>
      </c>
      <c r="D97" s="66" t="s">
        <v>132</v>
      </c>
      <c r="E97" s="66" t="s">
        <v>132</v>
      </c>
      <c r="F97" s="66" t="s">
        <v>132</v>
      </c>
      <c r="G97" s="66" t="s">
        <v>132</v>
      </c>
      <c r="H97" s="66" t="s">
        <v>132</v>
      </c>
      <c r="I97" s="66" t="s">
        <v>132</v>
      </c>
      <c r="J97" s="66" t="s">
        <v>132</v>
      </c>
      <c r="K97" s="66" t="s">
        <v>132</v>
      </c>
      <c r="L97" s="66">
        <v>3.1868548610690602E-5</v>
      </c>
      <c r="M97" s="66" t="s">
        <v>132</v>
      </c>
      <c r="N97" s="66" t="s">
        <v>132</v>
      </c>
      <c r="O97" s="66" t="s">
        <v>132</v>
      </c>
      <c r="P97" s="55" t="s">
        <v>132</v>
      </c>
      <c r="Q97" s="59">
        <v>3.1868548610690602E-5</v>
      </c>
    </row>
    <row r="98" spans="1:17" x14ac:dyDescent="0.2">
      <c r="A98" s="49" t="s">
        <v>89</v>
      </c>
      <c r="B98" s="53" t="s">
        <v>132</v>
      </c>
      <c r="C98" s="67" t="s">
        <v>132</v>
      </c>
      <c r="D98" s="67" t="s">
        <v>132</v>
      </c>
      <c r="E98" s="67" t="s">
        <v>132</v>
      </c>
      <c r="F98" s="67" t="s">
        <v>132</v>
      </c>
      <c r="G98" s="67" t="s">
        <v>132</v>
      </c>
      <c r="H98" s="67" t="s">
        <v>132</v>
      </c>
      <c r="I98" s="67" t="s">
        <v>132</v>
      </c>
      <c r="J98" s="67" t="s">
        <v>132</v>
      </c>
      <c r="K98" s="67" t="s">
        <v>132</v>
      </c>
      <c r="L98" s="67" t="s">
        <v>132</v>
      </c>
      <c r="M98" s="67" t="s">
        <v>132</v>
      </c>
      <c r="N98" s="67" t="s">
        <v>132</v>
      </c>
      <c r="O98" s="67" t="s">
        <v>132</v>
      </c>
      <c r="P98" s="56" t="s">
        <v>132</v>
      </c>
      <c r="Q98" s="58" t="s">
        <v>132</v>
      </c>
    </row>
    <row r="99" spans="1:17" x14ac:dyDescent="0.2">
      <c r="A99" s="48" t="s">
        <v>79</v>
      </c>
      <c r="B99" s="54" t="s">
        <v>132</v>
      </c>
      <c r="C99" s="66" t="s">
        <v>132</v>
      </c>
      <c r="D99" s="66" t="s">
        <v>132</v>
      </c>
      <c r="E99" s="66" t="s">
        <v>132</v>
      </c>
      <c r="F99" s="66" t="s">
        <v>132</v>
      </c>
      <c r="G99" s="66" t="s">
        <v>132</v>
      </c>
      <c r="H99" s="66" t="s">
        <v>132</v>
      </c>
      <c r="I99" s="66" t="s">
        <v>132</v>
      </c>
      <c r="J99" s="66" t="s">
        <v>132</v>
      </c>
      <c r="K99" s="66" t="s">
        <v>132</v>
      </c>
      <c r="L99" s="66" t="s">
        <v>132</v>
      </c>
      <c r="M99" s="66" t="s">
        <v>132</v>
      </c>
      <c r="N99" s="66" t="s">
        <v>132</v>
      </c>
      <c r="O99" s="66" t="s">
        <v>132</v>
      </c>
      <c r="P99" s="55" t="s">
        <v>132</v>
      </c>
      <c r="Q99" s="59" t="s">
        <v>132</v>
      </c>
    </row>
    <row r="100" spans="1:17" x14ac:dyDescent="0.2">
      <c r="A100" s="49" t="s">
        <v>80</v>
      </c>
      <c r="B100" s="53" t="s">
        <v>132</v>
      </c>
      <c r="C100" s="67" t="s">
        <v>132</v>
      </c>
      <c r="D100" s="67" t="s">
        <v>132</v>
      </c>
      <c r="E100" s="67" t="s">
        <v>132</v>
      </c>
      <c r="F100" s="67" t="s">
        <v>132</v>
      </c>
      <c r="G100" s="67" t="s">
        <v>132</v>
      </c>
      <c r="H100" s="67" t="s">
        <v>132</v>
      </c>
      <c r="I100" s="67" t="s">
        <v>132</v>
      </c>
      <c r="J100" s="67" t="s">
        <v>132</v>
      </c>
      <c r="K100" s="67" t="s">
        <v>132</v>
      </c>
      <c r="L100" s="67" t="s">
        <v>132</v>
      </c>
      <c r="M100" s="67">
        <v>1.5934274305345301E-5</v>
      </c>
      <c r="N100" s="67" t="s">
        <v>132</v>
      </c>
      <c r="O100" s="67" t="s">
        <v>132</v>
      </c>
      <c r="P100" s="56" t="s">
        <v>132</v>
      </c>
      <c r="Q100" s="58">
        <v>1.5934274305345301E-5</v>
      </c>
    </row>
    <row r="101" spans="1:17" x14ac:dyDescent="0.2">
      <c r="A101" s="48" t="s">
        <v>18</v>
      </c>
      <c r="B101" s="54" t="s">
        <v>132</v>
      </c>
      <c r="C101" s="66" t="s">
        <v>132</v>
      </c>
      <c r="D101" s="66" t="s">
        <v>132</v>
      </c>
      <c r="E101" s="66" t="s">
        <v>132</v>
      </c>
      <c r="F101" s="66" t="s">
        <v>132</v>
      </c>
      <c r="G101" s="66" t="s">
        <v>132</v>
      </c>
      <c r="H101" s="66" t="s">
        <v>132</v>
      </c>
      <c r="I101" s="66" t="s">
        <v>132</v>
      </c>
      <c r="J101" s="66" t="s">
        <v>132</v>
      </c>
      <c r="K101" s="66" t="s">
        <v>132</v>
      </c>
      <c r="L101" s="66" t="s">
        <v>132</v>
      </c>
      <c r="M101" s="66" t="s">
        <v>132</v>
      </c>
      <c r="N101" s="66" t="s">
        <v>132</v>
      </c>
      <c r="O101" s="66" t="s">
        <v>132</v>
      </c>
      <c r="P101" s="55" t="s">
        <v>132</v>
      </c>
      <c r="Q101" s="59" t="s">
        <v>132</v>
      </c>
    </row>
    <row r="102" spans="1:17" x14ac:dyDescent="0.2">
      <c r="A102" s="49" t="s">
        <v>78</v>
      </c>
      <c r="B102" s="53" t="s">
        <v>132</v>
      </c>
      <c r="C102" s="67" t="s">
        <v>132</v>
      </c>
      <c r="D102" s="67" t="s">
        <v>132</v>
      </c>
      <c r="E102" s="67" t="s">
        <v>132</v>
      </c>
      <c r="F102" s="67" t="s">
        <v>132</v>
      </c>
      <c r="G102" s="67" t="s">
        <v>132</v>
      </c>
      <c r="H102" s="67" t="s">
        <v>132</v>
      </c>
      <c r="I102" s="67" t="s">
        <v>132</v>
      </c>
      <c r="J102" s="67" t="s">
        <v>132</v>
      </c>
      <c r="K102" s="67" t="s">
        <v>132</v>
      </c>
      <c r="L102" s="67" t="s">
        <v>132</v>
      </c>
      <c r="M102" s="67" t="s">
        <v>132</v>
      </c>
      <c r="N102" s="67" t="s">
        <v>132</v>
      </c>
      <c r="O102" s="67" t="s">
        <v>132</v>
      </c>
      <c r="P102" s="56" t="s">
        <v>132</v>
      </c>
      <c r="Q102" s="58" t="s">
        <v>132</v>
      </c>
    </row>
    <row r="103" spans="1:17" x14ac:dyDescent="0.2">
      <c r="A103" s="48" t="s">
        <v>33</v>
      </c>
      <c r="B103" s="54">
        <v>2.5494838888552498E-4</v>
      </c>
      <c r="C103" s="66" t="s">
        <v>132</v>
      </c>
      <c r="D103" s="66" t="s">
        <v>132</v>
      </c>
      <c r="E103" s="66">
        <v>3.1868548610690601E-4</v>
      </c>
      <c r="F103" s="66" t="s">
        <v>132</v>
      </c>
      <c r="G103" s="66" t="s">
        <v>132</v>
      </c>
      <c r="H103" s="66" t="s">
        <v>132</v>
      </c>
      <c r="I103" s="66">
        <v>2.7088266319087002E-4</v>
      </c>
      <c r="J103" s="66" t="s">
        <v>132</v>
      </c>
      <c r="K103" s="66" t="s">
        <v>132</v>
      </c>
      <c r="L103" s="66">
        <v>1.4659532360917699E-4</v>
      </c>
      <c r="M103" s="66" t="s">
        <v>132</v>
      </c>
      <c r="N103" s="66" t="s">
        <v>132</v>
      </c>
      <c r="O103" s="66" t="s">
        <v>132</v>
      </c>
      <c r="P103" s="55" t="s">
        <v>132</v>
      </c>
      <c r="Q103" s="59">
        <v>9.9111186179247791E-4</v>
      </c>
    </row>
    <row r="104" spans="1:17" x14ac:dyDescent="0.2">
      <c r="A104" s="49" t="s">
        <v>34</v>
      </c>
      <c r="B104" s="53">
        <v>5.4176532638174101E-4</v>
      </c>
      <c r="C104" s="67">
        <v>1.4340846874810799E-4</v>
      </c>
      <c r="D104" s="67" t="s">
        <v>132</v>
      </c>
      <c r="E104" s="67" t="s">
        <v>132</v>
      </c>
      <c r="F104" s="67" t="s">
        <v>132</v>
      </c>
      <c r="G104" s="67" t="s">
        <v>132</v>
      </c>
      <c r="H104" s="67" t="s">
        <v>132</v>
      </c>
      <c r="I104" s="67" t="s">
        <v>132</v>
      </c>
      <c r="J104" s="67" t="s">
        <v>132</v>
      </c>
      <c r="K104" s="67" t="s">
        <v>132</v>
      </c>
      <c r="L104" s="67" t="s">
        <v>132</v>
      </c>
      <c r="M104" s="67" t="s">
        <v>132</v>
      </c>
      <c r="N104" s="67" t="s">
        <v>132</v>
      </c>
      <c r="O104" s="67" t="s">
        <v>132</v>
      </c>
      <c r="P104" s="56" t="s">
        <v>132</v>
      </c>
      <c r="Q104" s="58">
        <v>6.8517379512984897E-4</v>
      </c>
    </row>
    <row r="105" spans="1:17" x14ac:dyDescent="0.2">
      <c r="A105" s="48" t="s">
        <v>35</v>
      </c>
      <c r="B105" s="54" t="s">
        <v>132</v>
      </c>
      <c r="C105" s="66">
        <v>1.4340846874810799E-4</v>
      </c>
      <c r="D105" s="66" t="s">
        <v>132</v>
      </c>
      <c r="E105" s="66" t="s">
        <v>132</v>
      </c>
      <c r="F105" s="66" t="s">
        <v>132</v>
      </c>
      <c r="G105" s="66" t="s">
        <v>132</v>
      </c>
      <c r="H105" s="66" t="s">
        <v>132</v>
      </c>
      <c r="I105" s="66" t="s">
        <v>132</v>
      </c>
      <c r="J105" s="66" t="s">
        <v>132</v>
      </c>
      <c r="K105" s="66" t="s">
        <v>132</v>
      </c>
      <c r="L105" s="66" t="s">
        <v>132</v>
      </c>
      <c r="M105" s="66" t="s">
        <v>132</v>
      </c>
      <c r="N105" s="66" t="s">
        <v>132</v>
      </c>
      <c r="O105" s="66" t="s">
        <v>132</v>
      </c>
      <c r="P105" s="55" t="s">
        <v>132</v>
      </c>
      <c r="Q105" s="59">
        <v>1.4340846874810799E-4</v>
      </c>
    </row>
    <row r="106" spans="1:17" x14ac:dyDescent="0.2">
      <c r="A106" s="49" t="s">
        <v>36</v>
      </c>
      <c r="B106" s="53" t="s">
        <v>132</v>
      </c>
      <c r="C106" s="67" t="s">
        <v>132</v>
      </c>
      <c r="D106" s="67" t="s">
        <v>132</v>
      </c>
      <c r="E106" s="67" t="s">
        <v>132</v>
      </c>
      <c r="F106" s="67" t="s">
        <v>132</v>
      </c>
      <c r="G106" s="67" t="s">
        <v>132</v>
      </c>
      <c r="H106" s="67" t="s">
        <v>132</v>
      </c>
      <c r="I106" s="67" t="s">
        <v>132</v>
      </c>
      <c r="J106" s="67" t="s">
        <v>132</v>
      </c>
      <c r="K106" s="67" t="s">
        <v>132</v>
      </c>
      <c r="L106" s="67" t="s">
        <v>132</v>
      </c>
      <c r="M106" s="67" t="s">
        <v>132</v>
      </c>
      <c r="N106" s="67" t="s">
        <v>132</v>
      </c>
      <c r="O106" s="67" t="s">
        <v>132</v>
      </c>
      <c r="P106" s="56" t="s">
        <v>132</v>
      </c>
      <c r="Q106" s="58" t="s">
        <v>132</v>
      </c>
    </row>
    <row r="107" spans="1:17" x14ac:dyDescent="0.2">
      <c r="A107" s="48" t="s">
        <v>6</v>
      </c>
      <c r="B107" s="54">
        <v>7.9671371526726596E-5</v>
      </c>
      <c r="C107" s="66" t="s">
        <v>132</v>
      </c>
      <c r="D107" s="66" t="s">
        <v>132</v>
      </c>
      <c r="E107" s="66" t="s">
        <v>132</v>
      </c>
      <c r="F107" s="66" t="s">
        <v>132</v>
      </c>
      <c r="G107" s="66" t="s">
        <v>132</v>
      </c>
      <c r="H107" s="66" t="s">
        <v>132</v>
      </c>
      <c r="I107" s="66" t="s">
        <v>132</v>
      </c>
      <c r="J107" s="66" t="s">
        <v>132</v>
      </c>
      <c r="K107" s="66">
        <v>1.5934274305345301E-5</v>
      </c>
      <c r="L107" s="66" t="s">
        <v>132</v>
      </c>
      <c r="M107" s="66">
        <v>1.5934274305345301E-5</v>
      </c>
      <c r="N107" s="66" t="s">
        <v>132</v>
      </c>
      <c r="O107" s="66" t="s">
        <v>132</v>
      </c>
      <c r="P107" s="55" t="s">
        <v>132</v>
      </c>
      <c r="Q107" s="59">
        <v>1.1153992013741719E-4</v>
      </c>
    </row>
    <row r="108" spans="1:17" ht="13.5" thickBot="1" x14ac:dyDescent="0.25">
      <c r="A108" s="49" t="s">
        <v>37</v>
      </c>
      <c r="B108" s="53" t="s">
        <v>132</v>
      </c>
      <c r="C108" s="67" t="s">
        <v>132</v>
      </c>
      <c r="D108" s="67" t="s">
        <v>132</v>
      </c>
      <c r="E108" s="67">
        <v>3.1868548610690602E-5</v>
      </c>
      <c r="F108" s="67" t="s">
        <v>132</v>
      </c>
      <c r="G108" s="67" t="s">
        <v>132</v>
      </c>
      <c r="H108" s="67" t="s">
        <v>132</v>
      </c>
      <c r="I108" s="67" t="s">
        <v>132</v>
      </c>
      <c r="J108" s="67">
        <v>3.1868548610690602E-5</v>
      </c>
      <c r="K108" s="67" t="s">
        <v>132</v>
      </c>
      <c r="L108" s="67">
        <v>5.0989677777104996E-4</v>
      </c>
      <c r="M108" s="67" t="s">
        <v>132</v>
      </c>
      <c r="N108" s="67" t="s">
        <v>132</v>
      </c>
      <c r="O108" s="67" t="s">
        <v>132</v>
      </c>
      <c r="P108" s="56" t="s">
        <v>132</v>
      </c>
      <c r="Q108" s="58">
        <v>5.736338749924312E-4</v>
      </c>
    </row>
    <row r="109" spans="1:17" ht="14.25" thickTop="1" thickBot="1" x14ac:dyDescent="0.25">
      <c r="A109" s="60" t="s">
        <v>0</v>
      </c>
      <c r="B109" s="61">
        <v>9.8792500693140961E-4</v>
      </c>
      <c r="C109" s="62">
        <v>2.8681693749621598E-4</v>
      </c>
      <c r="D109" s="62">
        <v>1.91211291664144E-4</v>
      </c>
      <c r="E109" s="62">
        <v>7.8077944096192019E-4</v>
      </c>
      <c r="F109" s="62">
        <v>3.1868548610690602E-5</v>
      </c>
      <c r="G109" s="62">
        <v>6.3737097221381299E-5</v>
      </c>
      <c r="H109" s="62" t="s">
        <v>132</v>
      </c>
      <c r="I109" s="62">
        <v>2.7088266319087002E-4</v>
      </c>
      <c r="J109" s="62">
        <v>1.4818875103971153E-3</v>
      </c>
      <c r="K109" s="62">
        <v>3.5055403471759663E-4</v>
      </c>
      <c r="L109" s="62">
        <v>1.0229804104031702E-3</v>
      </c>
      <c r="M109" s="62">
        <v>3.8242258332828692E-4</v>
      </c>
      <c r="N109" s="62" t="s">
        <v>132</v>
      </c>
      <c r="O109" s="62" t="s">
        <v>132</v>
      </c>
      <c r="P109" s="63" t="s">
        <v>132</v>
      </c>
      <c r="Q109" s="64">
        <v>5.8510655249228013E-3</v>
      </c>
    </row>
  </sheetData>
  <mergeCells count="4">
    <mergeCell ref="A1:Q1"/>
    <mergeCell ref="A28:Q28"/>
    <mergeCell ref="A56:Q56"/>
    <mergeCell ref="A84:Q84"/>
  </mergeCells>
  <conditionalFormatting sqref="B5:Q25">
    <cfRule type="cellIs" dxfId="11" priority="1" operator="greaterThan">
      <formula>0</formula>
    </cfRule>
  </conditionalFormatting>
  <conditionalFormatting sqref="Q25">
    <cfRule type="cellIs" dxfId="10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82" orientation="landscape" r:id="rId1"/>
  <headerFooter>
    <oddFooter>&amp;L&amp;F&amp;C&amp;A&amp;R&amp;D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showGridLines="0" topLeftCell="A46" zoomScaleNormal="100" workbookViewId="0">
      <selection activeCell="A78" sqref="A78"/>
    </sheetView>
  </sheetViews>
  <sheetFormatPr defaultRowHeight="12.75" x14ac:dyDescent="0.2"/>
  <cols>
    <col min="1" max="1" width="38.28515625" style="21" bestFit="1" customWidth="1"/>
    <col min="2" max="2" width="23.140625" style="21" bestFit="1" customWidth="1"/>
    <col min="3" max="15" width="10.28515625" style="21" customWidth="1"/>
    <col min="16" max="16" width="11.42578125" style="21" customWidth="1"/>
    <col min="17" max="20" width="10.28515625" style="21" customWidth="1"/>
    <col min="21" max="16384" width="9.140625" style="16"/>
  </cols>
  <sheetData>
    <row r="1" spans="1:20" ht="15" customHeight="1" x14ac:dyDescent="0.25">
      <c r="A1" s="100" t="s">
        <v>85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7.5" customHeight="1" x14ac:dyDescent="0.2"/>
    <row r="3" spans="1:20" ht="12.75" customHeight="1" thickBot="1" x14ac:dyDescent="0.25">
      <c r="A3" s="31" t="s">
        <v>133</v>
      </c>
    </row>
    <row r="4" spans="1:20" ht="38.25" customHeight="1" thickBot="1" x14ac:dyDescent="0.25">
      <c r="A4" s="38" t="s">
        <v>65</v>
      </c>
      <c r="B4" s="37" t="s">
        <v>73</v>
      </c>
      <c r="C4" s="45" t="s">
        <v>74</v>
      </c>
      <c r="D4" s="46" t="s">
        <v>75</v>
      </c>
      <c r="E4" s="32" t="s">
        <v>50</v>
      </c>
      <c r="F4" s="32" t="s">
        <v>51</v>
      </c>
      <c r="G4" s="32" t="s">
        <v>52</v>
      </c>
      <c r="H4" s="32" t="s">
        <v>53</v>
      </c>
      <c r="I4" s="32" t="s">
        <v>63</v>
      </c>
      <c r="J4" s="32" t="s">
        <v>54</v>
      </c>
      <c r="K4" s="32" t="s">
        <v>55</v>
      </c>
      <c r="L4" s="32" t="s">
        <v>56</v>
      </c>
      <c r="M4" s="32" t="s">
        <v>57</v>
      </c>
      <c r="N4" s="32" t="s">
        <v>58</v>
      </c>
      <c r="O4" s="32" t="s">
        <v>59</v>
      </c>
      <c r="P4" s="32" t="s">
        <v>60</v>
      </c>
      <c r="Q4" s="32" t="s">
        <v>61</v>
      </c>
      <c r="R4" s="32" t="s">
        <v>81</v>
      </c>
      <c r="S4" s="44" t="s">
        <v>62</v>
      </c>
      <c r="T4" s="33" t="s">
        <v>0</v>
      </c>
    </row>
    <row r="5" spans="1:20" ht="12.75" customHeight="1" x14ac:dyDescent="0.2">
      <c r="A5" s="36" t="s">
        <v>67</v>
      </c>
      <c r="B5" s="39" t="s">
        <v>68</v>
      </c>
      <c r="C5" s="93">
        <v>1.248271717327803E-2</v>
      </c>
      <c r="D5" s="94">
        <v>1.2303685388723781E-3</v>
      </c>
      <c r="E5" s="66">
        <v>4.1082036405118089E-3</v>
      </c>
      <c r="F5" s="66">
        <v>4.3552015602352874E-3</v>
      </c>
      <c r="G5" s="66">
        <v>4.8804442717398083E-5</v>
      </c>
      <c r="H5" s="66">
        <v>3.7021928146788535E-5</v>
      </c>
      <c r="I5" s="66">
        <v>3.321134169057838E-4</v>
      </c>
      <c r="J5" s="66" t="s">
        <v>132</v>
      </c>
      <c r="K5" s="66" t="s">
        <v>132</v>
      </c>
      <c r="L5" s="66" t="s">
        <v>132</v>
      </c>
      <c r="M5" s="66">
        <v>1.6780900882338779E-4</v>
      </c>
      <c r="N5" s="66">
        <v>5.9800632002955127E-5</v>
      </c>
      <c r="O5" s="66" t="s">
        <v>132</v>
      </c>
      <c r="P5" s="66" t="s">
        <v>132</v>
      </c>
      <c r="Q5" s="66" t="s">
        <v>132</v>
      </c>
      <c r="R5" s="66">
        <v>4.8963225867269473E-5</v>
      </c>
      <c r="S5" s="84">
        <v>4.7038130319482354E-4</v>
      </c>
      <c r="T5" s="88">
        <v>2.3341384870555908E-2</v>
      </c>
    </row>
    <row r="6" spans="1:20" ht="12.75" customHeight="1" x14ac:dyDescent="0.2">
      <c r="A6" s="35" t="s">
        <v>19</v>
      </c>
      <c r="B6" s="40" t="s">
        <v>68</v>
      </c>
      <c r="C6" s="103">
        <v>2.5493726749976102E-3</v>
      </c>
      <c r="D6" s="104" t="s">
        <v>132</v>
      </c>
      <c r="E6" s="67" t="s">
        <v>132</v>
      </c>
      <c r="F6" s="67" t="s">
        <v>132</v>
      </c>
      <c r="G6" s="67" t="s">
        <v>132</v>
      </c>
      <c r="H6" s="67" t="s">
        <v>132</v>
      </c>
      <c r="I6" s="67" t="s">
        <v>132</v>
      </c>
      <c r="J6" s="67" t="s">
        <v>132</v>
      </c>
      <c r="K6" s="67" t="s">
        <v>132</v>
      </c>
      <c r="L6" s="67" t="s">
        <v>132</v>
      </c>
      <c r="M6" s="67" t="s">
        <v>132</v>
      </c>
      <c r="N6" s="67" t="s">
        <v>132</v>
      </c>
      <c r="O6" s="67" t="s">
        <v>132</v>
      </c>
      <c r="P6" s="67" t="s">
        <v>132</v>
      </c>
      <c r="Q6" s="67" t="s">
        <v>132</v>
      </c>
      <c r="R6" s="67" t="s">
        <v>132</v>
      </c>
      <c r="S6" s="85" t="s">
        <v>132</v>
      </c>
      <c r="T6" s="89">
        <v>2.5493726749976102E-3</v>
      </c>
    </row>
    <row r="7" spans="1:20" ht="12.75" customHeight="1" x14ac:dyDescent="0.2">
      <c r="A7" s="36" t="s">
        <v>21</v>
      </c>
      <c r="B7" s="39" t="s">
        <v>68</v>
      </c>
      <c r="C7" s="105">
        <v>9.5514136005918403E-4</v>
      </c>
      <c r="D7" s="106" t="s">
        <v>132</v>
      </c>
      <c r="E7" s="66">
        <v>3.6793731006722702E-5</v>
      </c>
      <c r="F7" s="66">
        <v>2.1329847818492601E-4</v>
      </c>
      <c r="G7" s="66">
        <v>1.36850961456353E-5</v>
      </c>
      <c r="H7" s="66">
        <v>2.2690962728851499E-4</v>
      </c>
      <c r="I7" s="66">
        <v>4.5470143711559396E-3</v>
      </c>
      <c r="J7" s="66" t="s">
        <v>132</v>
      </c>
      <c r="K7" s="66" t="s">
        <v>132</v>
      </c>
      <c r="L7" s="66" t="s">
        <v>132</v>
      </c>
      <c r="M7" s="66">
        <v>2.6640916291234601E-5</v>
      </c>
      <c r="N7" s="66" t="s">
        <v>132</v>
      </c>
      <c r="O7" s="66" t="s">
        <v>132</v>
      </c>
      <c r="P7" s="66" t="s">
        <v>132</v>
      </c>
      <c r="Q7" s="66" t="s">
        <v>132</v>
      </c>
      <c r="R7" s="66" t="s">
        <v>132</v>
      </c>
      <c r="S7" s="84">
        <v>5.1101703392204597E-3</v>
      </c>
      <c r="T7" s="88">
        <v>1.1129653919352616E-2</v>
      </c>
    </row>
    <row r="8" spans="1:20" ht="12.75" customHeight="1" x14ac:dyDescent="0.2">
      <c r="A8" s="35" t="s">
        <v>22</v>
      </c>
      <c r="B8" s="40" t="s">
        <v>68</v>
      </c>
      <c r="C8" s="103" t="s">
        <v>132</v>
      </c>
      <c r="D8" s="104" t="s">
        <v>132</v>
      </c>
      <c r="E8" s="67" t="s">
        <v>132</v>
      </c>
      <c r="F8" s="67" t="s">
        <v>132</v>
      </c>
      <c r="G8" s="67" t="s">
        <v>132</v>
      </c>
      <c r="H8" s="67" t="s">
        <v>132</v>
      </c>
      <c r="I8" s="67" t="s">
        <v>132</v>
      </c>
      <c r="J8" s="67" t="s">
        <v>132</v>
      </c>
      <c r="K8" s="67">
        <v>2.5022484959179498E-3</v>
      </c>
      <c r="L8" s="67" t="s">
        <v>132</v>
      </c>
      <c r="M8" s="67" t="s">
        <v>132</v>
      </c>
      <c r="N8" s="67" t="s">
        <v>132</v>
      </c>
      <c r="O8" s="67" t="s">
        <v>132</v>
      </c>
      <c r="P8" s="67" t="s">
        <v>132</v>
      </c>
      <c r="Q8" s="67" t="s">
        <v>132</v>
      </c>
      <c r="R8" s="67" t="s">
        <v>132</v>
      </c>
      <c r="S8" s="85" t="s">
        <v>132</v>
      </c>
      <c r="T8" s="89">
        <v>2.5022484959179498E-3</v>
      </c>
    </row>
    <row r="9" spans="1:20" ht="12.75" customHeight="1" x14ac:dyDescent="0.2">
      <c r="A9" s="36" t="s">
        <v>69</v>
      </c>
      <c r="B9" s="39" t="s">
        <v>68</v>
      </c>
      <c r="C9" s="105">
        <v>9.1700317562242199E-4</v>
      </c>
      <c r="D9" s="106" t="s">
        <v>132</v>
      </c>
      <c r="E9" s="66">
        <v>1.36850961456353E-5</v>
      </c>
      <c r="F9" s="66">
        <v>2.31200447180906E-4</v>
      </c>
      <c r="G9" s="66">
        <v>5.8386764582721503E-5</v>
      </c>
      <c r="H9" s="66">
        <v>6.5178445723111704E-5</v>
      </c>
      <c r="I9" s="66">
        <v>2.1690003376252198E-3</v>
      </c>
      <c r="J9" s="66">
        <v>2.1878280001081102E-6</v>
      </c>
      <c r="K9" s="66" t="s">
        <v>132</v>
      </c>
      <c r="L9" s="66" t="s">
        <v>132</v>
      </c>
      <c r="M9" s="66">
        <v>8.2281724728861403E-5</v>
      </c>
      <c r="N9" s="66">
        <v>4.3186067151997604E-6</v>
      </c>
      <c r="O9" s="66" t="s">
        <v>132</v>
      </c>
      <c r="P9" s="66" t="s">
        <v>132</v>
      </c>
      <c r="Q9" s="66" t="s">
        <v>132</v>
      </c>
      <c r="R9" s="66">
        <v>2.09208068609792E-5</v>
      </c>
      <c r="S9" s="84">
        <v>5.7043189509450804E-3</v>
      </c>
      <c r="T9" s="88">
        <v>9.2684821841302455E-3</v>
      </c>
    </row>
    <row r="10" spans="1:20" ht="12.75" customHeight="1" x14ac:dyDescent="0.2">
      <c r="A10" s="35" t="s">
        <v>77</v>
      </c>
      <c r="B10" s="40" t="s">
        <v>70</v>
      </c>
      <c r="C10" s="103">
        <v>7.5676922194567702E-4</v>
      </c>
      <c r="D10" s="104" t="s">
        <v>132</v>
      </c>
      <c r="E10" s="67" t="s">
        <v>132</v>
      </c>
      <c r="F10" s="67" t="s">
        <v>132</v>
      </c>
      <c r="G10" s="67" t="s">
        <v>132</v>
      </c>
      <c r="H10" s="67" t="s">
        <v>132</v>
      </c>
      <c r="I10" s="67">
        <v>6.45829900780522E-4</v>
      </c>
      <c r="J10" s="67" t="s">
        <v>132</v>
      </c>
      <c r="K10" s="67">
        <v>1.1369902315771399E-3</v>
      </c>
      <c r="L10" s="67">
        <v>1.4983268573948499E-3</v>
      </c>
      <c r="M10" s="67">
        <v>1.4397257360166399E-4</v>
      </c>
      <c r="N10" s="67" t="s">
        <v>132</v>
      </c>
      <c r="O10" s="67" t="s">
        <v>132</v>
      </c>
      <c r="P10" s="67" t="s">
        <v>132</v>
      </c>
      <c r="Q10" s="67" t="s">
        <v>132</v>
      </c>
      <c r="R10" s="67">
        <v>5.7771587152718398E-6</v>
      </c>
      <c r="S10" s="85">
        <v>2.1408235175567401E-3</v>
      </c>
      <c r="T10" s="89">
        <v>6.3284894615718654E-3</v>
      </c>
    </row>
    <row r="11" spans="1:20" ht="12.75" customHeight="1" x14ac:dyDescent="0.2">
      <c r="A11" s="36" t="s">
        <v>28</v>
      </c>
      <c r="B11" s="39" t="s">
        <v>70</v>
      </c>
      <c r="C11" s="105" t="s">
        <v>132</v>
      </c>
      <c r="D11" s="106" t="s">
        <v>132</v>
      </c>
      <c r="E11" s="66" t="s">
        <v>132</v>
      </c>
      <c r="F11" s="66" t="s">
        <v>132</v>
      </c>
      <c r="G11" s="66" t="s">
        <v>132</v>
      </c>
      <c r="H11" s="66" t="s">
        <v>132</v>
      </c>
      <c r="I11" s="66">
        <v>8.5325292004216394E-5</v>
      </c>
      <c r="J11" s="66" t="s">
        <v>132</v>
      </c>
      <c r="K11" s="66" t="s">
        <v>132</v>
      </c>
      <c r="L11" s="66" t="s">
        <v>132</v>
      </c>
      <c r="M11" s="66" t="s">
        <v>132</v>
      </c>
      <c r="N11" s="66" t="s">
        <v>132</v>
      </c>
      <c r="O11" s="66" t="s">
        <v>132</v>
      </c>
      <c r="P11" s="66" t="s">
        <v>132</v>
      </c>
      <c r="Q11" s="66" t="s">
        <v>132</v>
      </c>
      <c r="R11" s="66" t="s">
        <v>132</v>
      </c>
      <c r="S11" s="84">
        <v>1.7422611774615699E-3</v>
      </c>
      <c r="T11" s="88">
        <v>1.8275864694657863E-3</v>
      </c>
    </row>
    <row r="12" spans="1:20" ht="12.75" customHeight="1" x14ac:dyDescent="0.2">
      <c r="A12" s="35" t="s">
        <v>29</v>
      </c>
      <c r="B12" s="40" t="s">
        <v>70</v>
      </c>
      <c r="C12" s="103" t="s">
        <v>132</v>
      </c>
      <c r="D12" s="104" t="s">
        <v>132</v>
      </c>
      <c r="E12" s="67" t="s">
        <v>132</v>
      </c>
      <c r="F12" s="67" t="s">
        <v>132</v>
      </c>
      <c r="G12" s="67" t="s">
        <v>132</v>
      </c>
      <c r="H12" s="67" t="s">
        <v>132</v>
      </c>
      <c r="I12" s="67">
        <v>4.3186067151997604E-6</v>
      </c>
      <c r="J12" s="67" t="s">
        <v>132</v>
      </c>
      <c r="K12" s="67" t="s">
        <v>132</v>
      </c>
      <c r="L12" s="67" t="s">
        <v>132</v>
      </c>
      <c r="M12" s="67" t="s">
        <v>132</v>
      </c>
      <c r="N12" s="67" t="s">
        <v>132</v>
      </c>
      <c r="O12" s="67" t="s">
        <v>132</v>
      </c>
      <c r="P12" s="67" t="s">
        <v>132</v>
      </c>
      <c r="Q12" s="67" t="s">
        <v>132</v>
      </c>
      <c r="R12" s="67" t="s">
        <v>132</v>
      </c>
      <c r="S12" s="85" t="s">
        <v>132</v>
      </c>
      <c r="T12" s="89">
        <v>4.3186067151997604E-6</v>
      </c>
    </row>
    <row r="13" spans="1:20" ht="12.75" customHeight="1" x14ac:dyDescent="0.2">
      <c r="A13" s="36" t="s">
        <v>30</v>
      </c>
      <c r="B13" s="39" t="s">
        <v>70</v>
      </c>
      <c r="C13" s="105" t="s">
        <v>132</v>
      </c>
      <c r="D13" s="106" t="s">
        <v>132</v>
      </c>
      <c r="E13" s="66" t="s">
        <v>132</v>
      </c>
      <c r="F13" s="66">
        <v>1.94622548609072E-5</v>
      </c>
      <c r="G13" s="66">
        <v>7.2927600003603799E-7</v>
      </c>
      <c r="H13" s="66">
        <v>4.5345370509597503E-4</v>
      </c>
      <c r="I13" s="66">
        <v>2.1409716817515699E-4</v>
      </c>
      <c r="J13" s="66" t="s">
        <v>132</v>
      </c>
      <c r="K13" s="66">
        <v>2.3849012194206401E-5</v>
      </c>
      <c r="L13" s="66" t="s">
        <v>132</v>
      </c>
      <c r="M13" s="66" t="s">
        <v>132</v>
      </c>
      <c r="N13" s="66" t="s">
        <v>132</v>
      </c>
      <c r="O13" s="66" t="s">
        <v>132</v>
      </c>
      <c r="P13" s="66" t="s">
        <v>132</v>
      </c>
      <c r="Q13" s="66" t="s">
        <v>132</v>
      </c>
      <c r="R13" s="66" t="s">
        <v>132</v>
      </c>
      <c r="S13" s="84">
        <v>4.1877946837087301E-3</v>
      </c>
      <c r="T13" s="88">
        <v>4.8993861000350119E-3</v>
      </c>
    </row>
    <row r="14" spans="1:20" ht="12.75" customHeight="1" x14ac:dyDescent="0.2">
      <c r="A14" s="35" t="s">
        <v>31</v>
      </c>
      <c r="B14" s="40" t="s">
        <v>70</v>
      </c>
      <c r="C14" s="103" t="s">
        <v>132</v>
      </c>
      <c r="D14" s="104" t="s">
        <v>132</v>
      </c>
      <c r="E14" s="67">
        <v>2.6983212001333402E-5</v>
      </c>
      <c r="F14" s="67">
        <v>2.0055090000990999E-4</v>
      </c>
      <c r="G14" s="67" t="s">
        <v>132</v>
      </c>
      <c r="H14" s="67">
        <v>7.0010496003459593E-5</v>
      </c>
      <c r="I14" s="67">
        <v>3.8537529431877103E-5</v>
      </c>
      <c r="J14" s="67" t="s">
        <v>132</v>
      </c>
      <c r="K14" s="67">
        <v>1.33876808171193E-4</v>
      </c>
      <c r="L14" s="67" t="s">
        <v>132</v>
      </c>
      <c r="M14" s="67" t="s">
        <v>132</v>
      </c>
      <c r="N14" s="67" t="s">
        <v>132</v>
      </c>
      <c r="O14" s="67" t="s">
        <v>132</v>
      </c>
      <c r="P14" s="67" t="s">
        <v>132</v>
      </c>
      <c r="Q14" s="67" t="s">
        <v>132</v>
      </c>
      <c r="R14" s="67" t="s">
        <v>132</v>
      </c>
      <c r="S14" s="85">
        <v>6.89029808277098E-4</v>
      </c>
      <c r="T14" s="89">
        <v>1.1589887538948711E-3</v>
      </c>
    </row>
    <row r="15" spans="1:20" ht="12.75" customHeight="1" x14ac:dyDescent="0.2">
      <c r="A15" s="36" t="s">
        <v>20</v>
      </c>
      <c r="B15" s="39" t="s">
        <v>70</v>
      </c>
      <c r="C15" s="105" t="s">
        <v>132</v>
      </c>
      <c r="D15" s="106" t="s">
        <v>132</v>
      </c>
      <c r="E15" s="66" t="s">
        <v>132</v>
      </c>
      <c r="F15" s="66" t="s">
        <v>132</v>
      </c>
      <c r="G15" s="66">
        <v>2.5911640291198601E-5</v>
      </c>
      <c r="H15" s="66" t="s">
        <v>132</v>
      </c>
      <c r="I15" s="66" t="s">
        <v>132</v>
      </c>
      <c r="J15" s="66" t="s">
        <v>132</v>
      </c>
      <c r="K15" s="66" t="s">
        <v>132</v>
      </c>
      <c r="L15" s="66" t="s">
        <v>132</v>
      </c>
      <c r="M15" s="66" t="s">
        <v>132</v>
      </c>
      <c r="N15" s="66" t="s">
        <v>132</v>
      </c>
      <c r="O15" s="66" t="s">
        <v>132</v>
      </c>
      <c r="P15" s="66" t="s">
        <v>132</v>
      </c>
      <c r="Q15" s="66" t="s">
        <v>132</v>
      </c>
      <c r="R15" s="66" t="s">
        <v>132</v>
      </c>
      <c r="S15" s="84" t="s">
        <v>132</v>
      </c>
      <c r="T15" s="88">
        <v>2.5911640291198601E-5</v>
      </c>
    </row>
    <row r="16" spans="1:20" ht="12.75" customHeight="1" x14ac:dyDescent="0.2">
      <c r="A16" s="35" t="s">
        <v>32</v>
      </c>
      <c r="B16" s="40" t="s">
        <v>70</v>
      </c>
      <c r="C16" s="103">
        <v>1.1733165731043E-4</v>
      </c>
      <c r="D16" s="104" t="s">
        <v>132</v>
      </c>
      <c r="E16" s="67" t="s">
        <v>132</v>
      </c>
      <c r="F16" s="67">
        <v>4.3317586248780698E-4</v>
      </c>
      <c r="G16" s="67" t="s">
        <v>132</v>
      </c>
      <c r="H16" s="67" t="s">
        <v>132</v>
      </c>
      <c r="I16" s="67">
        <v>3.8980083367430902E-5</v>
      </c>
      <c r="J16" s="67" t="s">
        <v>132</v>
      </c>
      <c r="K16" s="67">
        <v>7.2927600003603799E-6</v>
      </c>
      <c r="L16" s="67" t="s">
        <v>132</v>
      </c>
      <c r="M16" s="67" t="s">
        <v>132</v>
      </c>
      <c r="N16" s="67" t="s">
        <v>132</v>
      </c>
      <c r="O16" s="67" t="s">
        <v>132</v>
      </c>
      <c r="P16" s="67" t="s">
        <v>132</v>
      </c>
      <c r="Q16" s="67" t="s">
        <v>132</v>
      </c>
      <c r="R16" s="67" t="s">
        <v>132</v>
      </c>
      <c r="S16" s="85">
        <v>6.3918886656974703E-3</v>
      </c>
      <c r="T16" s="89">
        <v>6.9886690288634987E-3</v>
      </c>
    </row>
    <row r="17" spans="1:20" ht="12.75" customHeight="1" x14ac:dyDescent="0.2">
      <c r="A17" s="36" t="s">
        <v>23</v>
      </c>
      <c r="B17" s="39" t="s">
        <v>71</v>
      </c>
      <c r="C17" s="105" t="s">
        <v>132</v>
      </c>
      <c r="D17" s="106" t="s">
        <v>132</v>
      </c>
      <c r="E17" s="66" t="s">
        <v>132</v>
      </c>
      <c r="F17" s="66" t="s">
        <v>132</v>
      </c>
      <c r="G17" s="66" t="s">
        <v>132</v>
      </c>
      <c r="H17" s="66" t="s">
        <v>132</v>
      </c>
      <c r="I17" s="66" t="s">
        <v>132</v>
      </c>
      <c r="J17" s="66" t="s">
        <v>132</v>
      </c>
      <c r="K17" s="66" t="s">
        <v>132</v>
      </c>
      <c r="L17" s="66">
        <v>3.9958610532882504E-3</v>
      </c>
      <c r="M17" s="66" t="s">
        <v>132</v>
      </c>
      <c r="N17" s="66" t="s">
        <v>132</v>
      </c>
      <c r="O17" s="66" t="s">
        <v>132</v>
      </c>
      <c r="P17" s="66" t="s">
        <v>132</v>
      </c>
      <c r="Q17" s="66" t="s">
        <v>132</v>
      </c>
      <c r="R17" s="66" t="s">
        <v>132</v>
      </c>
      <c r="S17" s="84" t="s">
        <v>132</v>
      </c>
      <c r="T17" s="88">
        <v>3.9958610532882504E-3</v>
      </c>
    </row>
    <row r="18" spans="1:20" ht="12.75" customHeight="1" x14ac:dyDescent="0.2">
      <c r="A18" s="35" t="s">
        <v>24</v>
      </c>
      <c r="B18" s="40" t="s">
        <v>72</v>
      </c>
      <c r="C18" s="103" t="s">
        <v>132</v>
      </c>
      <c r="D18" s="104" t="s">
        <v>132</v>
      </c>
      <c r="E18" s="67" t="s">
        <v>132</v>
      </c>
      <c r="F18" s="67" t="s">
        <v>132</v>
      </c>
      <c r="G18" s="67" t="s">
        <v>132</v>
      </c>
      <c r="H18" s="67" t="s">
        <v>132</v>
      </c>
      <c r="I18" s="67" t="s">
        <v>132</v>
      </c>
      <c r="J18" s="67" t="s">
        <v>132</v>
      </c>
      <c r="K18" s="67" t="s">
        <v>132</v>
      </c>
      <c r="L18" s="67" t="s">
        <v>132</v>
      </c>
      <c r="M18" s="67" t="s">
        <v>132</v>
      </c>
      <c r="N18" s="67" t="s">
        <v>132</v>
      </c>
      <c r="O18" s="67" t="s">
        <v>132</v>
      </c>
      <c r="P18" s="67">
        <v>2.2912807353380499E-2</v>
      </c>
      <c r="Q18" s="67" t="s">
        <v>132</v>
      </c>
      <c r="R18" s="67" t="s">
        <v>132</v>
      </c>
      <c r="S18" s="85" t="s">
        <v>132</v>
      </c>
      <c r="T18" s="89">
        <v>2.2912807353380499E-2</v>
      </c>
    </row>
    <row r="19" spans="1:20" ht="12.75" customHeight="1" x14ac:dyDescent="0.2">
      <c r="A19" s="36" t="s">
        <v>25</v>
      </c>
      <c r="B19" s="39" t="s">
        <v>72</v>
      </c>
      <c r="C19" s="105" t="s">
        <v>132</v>
      </c>
      <c r="D19" s="106" t="s">
        <v>132</v>
      </c>
      <c r="E19" s="66" t="s">
        <v>132</v>
      </c>
      <c r="F19" s="66" t="s">
        <v>132</v>
      </c>
      <c r="G19" s="66" t="s">
        <v>132</v>
      </c>
      <c r="H19" s="66" t="s">
        <v>132</v>
      </c>
      <c r="I19" s="66" t="s">
        <v>132</v>
      </c>
      <c r="J19" s="66" t="s">
        <v>132</v>
      </c>
      <c r="K19" s="66" t="s">
        <v>132</v>
      </c>
      <c r="L19" s="66" t="s">
        <v>132</v>
      </c>
      <c r="M19" s="66" t="s">
        <v>132</v>
      </c>
      <c r="N19" s="66" t="s">
        <v>132</v>
      </c>
      <c r="O19" s="66" t="s">
        <v>132</v>
      </c>
      <c r="P19" s="66">
        <v>3.3840675292133998E-2</v>
      </c>
      <c r="Q19" s="66" t="s">
        <v>132</v>
      </c>
      <c r="R19" s="66" t="s">
        <v>132</v>
      </c>
      <c r="S19" s="84" t="s">
        <v>132</v>
      </c>
      <c r="T19" s="88">
        <v>3.3840675292133998E-2</v>
      </c>
    </row>
    <row r="20" spans="1:20" ht="12.75" customHeight="1" x14ac:dyDescent="0.2">
      <c r="A20" s="35" t="s">
        <v>78</v>
      </c>
      <c r="B20" s="40" t="s">
        <v>72</v>
      </c>
      <c r="C20" s="103" t="s">
        <v>132</v>
      </c>
      <c r="D20" s="104" t="s">
        <v>132</v>
      </c>
      <c r="E20" s="67" t="s">
        <v>132</v>
      </c>
      <c r="F20" s="67" t="s">
        <v>132</v>
      </c>
      <c r="G20" s="67" t="s">
        <v>132</v>
      </c>
      <c r="H20" s="67" t="s">
        <v>132</v>
      </c>
      <c r="I20" s="67" t="s">
        <v>132</v>
      </c>
      <c r="J20" s="67" t="s">
        <v>132</v>
      </c>
      <c r="K20" s="67" t="s">
        <v>132</v>
      </c>
      <c r="L20" s="67" t="s">
        <v>132</v>
      </c>
      <c r="M20" s="67" t="s">
        <v>132</v>
      </c>
      <c r="N20" s="67" t="s">
        <v>132</v>
      </c>
      <c r="O20" s="67" t="s">
        <v>132</v>
      </c>
      <c r="P20" s="67" t="s">
        <v>132</v>
      </c>
      <c r="Q20" s="67">
        <v>2.2316604647533198E-4</v>
      </c>
      <c r="R20" s="67" t="s">
        <v>132</v>
      </c>
      <c r="S20" s="85" t="s">
        <v>132</v>
      </c>
      <c r="T20" s="89">
        <v>2.2316604647533198E-4</v>
      </c>
    </row>
    <row r="21" spans="1:20" ht="12.75" customHeight="1" x14ac:dyDescent="0.2">
      <c r="A21" s="36" t="s">
        <v>26</v>
      </c>
      <c r="B21" s="39" t="s">
        <v>72</v>
      </c>
      <c r="C21" s="105" t="s">
        <v>132</v>
      </c>
      <c r="D21" s="106" t="s">
        <v>132</v>
      </c>
      <c r="E21" s="66" t="s">
        <v>132</v>
      </c>
      <c r="F21" s="66" t="s">
        <v>132</v>
      </c>
      <c r="G21" s="66" t="s">
        <v>132</v>
      </c>
      <c r="H21" s="66" t="s">
        <v>132</v>
      </c>
      <c r="I21" s="66" t="s">
        <v>132</v>
      </c>
      <c r="J21" s="66" t="s">
        <v>132</v>
      </c>
      <c r="K21" s="66" t="s">
        <v>132</v>
      </c>
      <c r="L21" s="66" t="s">
        <v>132</v>
      </c>
      <c r="M21" s="66" t="s">
        <v>132</v>
      </c>
      <c r="N21" s="66" t="s">
        <v>132</v>
      </c>
      <c r="O21" s="66" t="s">
        <v>132</v>
      </c>
      <c r="P21" s="66">
        <v>9.44262458987161E-3</v>
      </c>
      <c r="Q21" s="66" t="s">
        <v>132</v>
      </c>
      <c r="R21" s="66" t="s">
        <v>132</v>
      </c>
      <c r="S21" s="84" t="s">
        <v>132</v>
      </c>
      <c r="T21" s="88">
        <v>9.44262458987161E-3</v>
      </c>
    </row>
    <row r="22" spans="1:20" ht="12.75" customHeight="1" thickBot="1" x14ac:dyDescent="0.25">
      <c r="A22" s="43" t="s">
        <v>27</v>
      </c>
      <c r="B22" s="42" t="s">
        <v>72</v>
      </c>
      <c r="C22" s="107" t="s">
        <v>132</v>
      </c>
      <c r="D22" s="108" t="s">
        <v>132</v>
      </c>
      <c r="E22" s="74" t="s">
        <v>132</v>
      </c>
      <c r="F22" s="74" t="s">
        <v>132</v>
      </c>
      <c r="G22" s="74" t="s">
        <v>132</v>
      </c>
      <c r="H22" s="74" t="s">
        <v>132</v>
      </c>
      <c r="I22" s="74" t="s">
        <v>132</v>
      </c>
      <c r="J22" s="74" t="s">
        <v>132</v>
      </c>
      <c r="K22" s="74" t="s">
        <v>132</v>
      </c>
      <c r="L22" s="74" t="s">
        <v>132</v>
      </c>
      <c r="M22" s="74" t="s">
        <v>132</v>
      </c>
      <c r="N22" s="74" t="s">
        <v>132</v>
      </c>
      <c r="O22" s="74" t="s">
        <v>132</v>
      </c>
      <c r="P22" s="74" t="s">
        <v>132</v>
      </c>
      <c r="Q22" s="74">
        <v>1.1624611244554999E-2</v>
      </c>
      <c r="R22" s="74" t="s">
        <v>132</v>
      </c>
      <c r="S22" s="86" t="s">
        <v>132</v>
      </c>
      <c r="T22" s="75">
        <v>1.1624611244554999E-2</v>
      </c>
    </row>
    <row r="23" spans="1:20" ht="12.75" customHeight="1" thickTop="1" thickBot="1" x14ac:dyDescent="0.25">
      <c r="A23" s="34" t="s">
        <v>0</v>
      </c>
      <c r="B23" s="41"/>
      <c r="C23" s="101">
        <v>1.9008703802085733E-2</v>
      </c>
      <c r="D23" s="102" t="s">
        <v>132</v>
      </c>
      <c r="E23" s="73">
        <v>4.1856656796655E-3</v>
      </c>
      <c r="F23" s="73">
        <v>5.452889502959744E-3</v>
      </c>
      <c r="G23" s="73">
        <v>1.4751721973698954E-4</v>
      </c>
      <c r="H23" s="73">
        <v>8.5257420225784983E-4</v>
      </c>
      <c r="I23" s="73">
        <v>8.0752167061613443E-3</v>
      </c>
      <c r="J23" s="73">
        <v>2.1878280001081102E-6</v>
      </c>
      <c r="K23" s="73">
        <v>3.8042573078608494E-3</v>
      </c>
      <c r="L23" s="73">
        <v>5.4941879106831003E-3</v>
      </c>
      <c r="M23" s="73">
        <v>4.2070422344514774E-4</v>
      </c>
      <c r="N23" s="73">
        <v>6.411923871815489E-5</v>
      </c>
      <c r="O23" s="73" t="s">
        <v>132</v>
      </c>
      <c r="P23" s="73">
        <v>6.6196107235386104E-2</v>
      </c>
      <c r="Q23" s="73">
        <v>1.1847777291030332E-2</v>
      </c>
      <c r="R23" s="73">
        <v>7.5661191443520507E-5</v>
      </c>
      <c r="S23" s="87">
        <v>2.6436668446061972E-2</v>
      </c>
      <c r="T23" s="90">
        <v>0.15206423778549644</v>
      </c>
    </row>
    <row r="26" spans="1:20" ht="15" x14ac:dyDescent="0.25">
      <c r="A26" s="109" t="s">
        <v>109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</row>
    <row r="27" spans="1:20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1:20" ht="13.5" thickBot="1" x14ac:dyDescent="0.25">
      <c r="A28" s="31" t="s">
        <v>133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39" thickBot="1" x14ac:dyDescent="0.25">
      <c r="A29" s="77" t="s">
        <v>65</v>
      </c>
      <c r="B29" s="76" t="s">
        <v>73</v>
      </c>
      <c r="C29" s="91" t="s">
        <v>74</v>
      </c>
      <c r="D29" s="92" t="s">
        <v>75</v>
      </c>
      <c r="E29" s="68" t="s">
        <v>50</v>
      </c>
      <c r="F29" s="68" t="s">
        <v>51</v>
      </c>
      <c r="G29" s="68" t="s">
        <v>52</v>
      </c>
      <c r="H29" s="68" t="s">
        <v>53</v>
      </c>
      <c r="I29" s="68" t="s">
        <v>63</v>
      </c>
      <c r="J29" s="68" t="s">
        <v>54</v>
      </c>
      <c r="K29" s="68" t="s">
        <v>55</v>
      </c>
      <c r="L29" s="68" t="s">
        <v>56</v>
      </c>
      <c r="M29" s="68" t="s">
        <v>57</v>
      </c>
      <c r="N29" s="68" t="s">
        <v>58</v>
      </c>
      <c r="O29" s="68" t="s">
        <v>59</v>
      </c>
      <c r="P29" s="68" t="s">
        <v>60</v>
      </c>
      <c r="Q29" s="68" t="s">
        <v>61</v>
      </c>
      <c r="R29" s="68" t="s">
        <v>81</v>
      </c>
      <c r="S29" s="83" t="s">
        <v>62</v>
      </c>
      <c r="T29" s="69" t="s">
        <v>0</v>
      </c>
    </row>
    <row r="30" spans="1:20" x14ac:dyDescent="0.2">
      <c r="A30" s="72" t="s">
        <v>67</v>
      </c>
      <c r="B30" s="78" t="s">
        <v>68</v>
      </c>
      <c r="C30" s="93">
        <v>9.3201394712952076E-3</v>
      </c>
      <c r="D30" s="94">
        <v>8.6749407528053052E-4</v>
      </c>
      <c r="E30" s="66">
        <v>2.3747650310804512E-3</v>
      </c>
      <c r="F30" s="66">
        <v>3.0687602913048728E-3</v>
      </c>
      <c r="G30" s="66">
        <v>5.4218379705033102E-6</v>
      </c>
      <c r="H30" s="66">
        <v>1.6265513911509899E-5</v>
      </c>
      <c r="I30" s="66">
        <v>2.4940454664315251E-4</v>
      </c>
      <c r="J30" s="66" t="s">
        <v>132</v>
      </c>
      <c r="K30" s="66" t="s">
        <v>132</v>
      </c>
      <c r="L30" s="66" t="s">
        <v>132</v>
      </c>
      <c r="M30" s="66">
        <v>1.6265513911509951E-4</v>
      </c>
      <c r="N30" s="66" t="s">
        <v>132</v>
      </c>
      <c r="O30" s="66" t="s">
        <v>132</v>
      </c>
      <c r="P30" s="66" t="s">
        <v>132</v>
      </c>
      <c r="Q30" s="66" t="s">
        <v>132</v>
      </c>
      <c r="R30" s="66">
        <v>5.9640217675536502E-5</v>
      </c>
      <c r="S30" s="84">
        <v>4.6627806546328517E-4</v>
      </c>
      <c r="T30" s="88">
        <v>1.6590824189740148E-2</v>
      </c>
    </row>
    <row r="31" spans="1:20" x14ac:dyDescent="0.2">
      <c r="A31" s="71" t="s">
        <v>19</v>
      </c>
      <c r="B31" s="79" t="s">
        <v>68</v>
      </c>
      <c r="C31" s="103">
        <v>2.0494547528502501E-3</v>
      </c>
      <c r="D31" s="104" t="s">
        <v>132</v>
      </c>
      <c r="E31" s="67" t="s">
        <v>132</v>
      </c>
      <c r="F31" s="67" t="s">
        <v>132</v>
      </c>
      <c r="G31" s="67" t="s">
        <v>132</v>
      </c>
      <c r="H31" s="67" t="s">
        <v>132</v>
      </c>
      <c r="I31" s="67" t="s">
        <v>132</v>
      </c>
      <c r="J31" s="67" t="s">
        <v>132</v>
      </c>
      <c r="K31" s="67" t="s">
        <v>132</v>
      </c>
      <c r="L31" s="67" t="s">
        <v>132</v>
      </c>
      <c r="M31" s="67" t="s">
        <v>132</v>
      </c>
      <c r="N31" s="67" t="s">
        <v>132</v>
      </c>
      <c r="O31" s="67" t="s">
        <v>132</v>
      </c>
      <c r="P31" s="67" t="s">
        <v>132</v>
      </c>
      <c r="Q31" s="67" t="s">
        <v>132</v>
      </c>
      <c r="R31" s="67" t="s">
        <v>132</v>
      </c>
      <c r="S31" s="85" t="s">
        <v>132</v>
      </c>
      <c r="T31" s="89">
        <v>2.0494547528502501E-3</v>
      </c>
    </row>
    <row r="32" spans="1:20" x14ac:dyDescent="0.2">
      <c r="A32" s="72" t="s">
        <v>21</v>
      </c>
      <c r="B32" s="78" t="s">
        <v>68</v>
      </c>
      <c r="C32" s="105">
        <v>1.1982261914812299E-3</v>
      </c>
      <c r="D32" s="106" t="s">
        <v>132</v>
      </c>
      <c r="E32" s="66">
        <v>3.7952865793523197E-5</v>
      </c>
      <c r="F32" s="66">
        <v>2.43982708672649E-4</v>
      </c>
      <c r="G32" s="66">
        <v>1.6265513911509899E-5</v>
      </c>
      <c r="H32" s="66">
        <v>1.78920653026609E-4</v>
      </c>
      <c r="I32" s="66">
        <v>4.5922967610163099E-3</v>
      </c>
      <c r="J32" s="66" t="s">
        <v>132</v>
      </c>
      <c r="K32" s="66" t="s">
        <v>132</v>
      </c>
      <c r="L32" s="66" t="s">
        <v>132</v>
      </c>
      <c r="M32" s="66">
        <v>3.25310278230199E-5</v>
      </c>
      <c r="N32" s="66" t="s">
        <v>132</v>
      </c>
      <c r="O32" s="66" t="s">
        <v>132</v>
      </c>
      <c r="P32" s="66" t="s">
        <v>132</v>
      </c>
      <c r="Q32" s="66" t="s">
        <v>132</v>
      </c>
      <c r="R32" s="66" t="s">
        <v>132</v>
      </c>
      <c r="S32" s="84">
        <v>5.99655279537666E-3</v>
      </c>
      <c r="T32" s="88">
        <v>1.2296728517101511E-2</v>
      </c>
    </row>
    <row r="33" spans="1:20" x14ac:dyDescent="0.2">
      <c r="A33" s="71" t="s">
        <v>22</v>
      </c>
      <c r="B33" s="79" t="s">
        <v>68</v>
      </c>
      <c r="C33" s="103" t="s">
        <v>132</v>
      </c>
      <c r="D33" s="104" t="s">
        <v>132</v>
      </c>
      <c r="E33" s="67" t="s">
        <v>132</v>
      </c>
      <c r="F33" s="67" t="s">
        <v>132</v>
      </c>
      <c r="G33" s="67" t="s">
        <v>132</v>
      </c>
      <c r="H33" s="67" t="s">
        <v>132</v>
      </c>
      <c r="I33" s="67" t="s">
        <v>132</v>
      </c>
      <c r="J33" s="67" t="s">
        <v>132</v>
      </c>
      <c r="K33" s="67">
        <v>2.8356212655213202E-3</v>
      </c>
      <c r="L33" s="67" t="s">
        <v>132</v>
      </c>
      <c r="M33" s="67" t="s">
        <v>132</v>
      </c>
      <c r="N33" s="67" t="s">
        <v>132</v>
      </c>
      <c r="O33" s="67" t="s">
        <v>132</v>
      </c>
      <c r="P33" s="67" t="s">
        <v>132</v>
      </c>
      <c r="Q33" s="67" t="s">
        <v>132</v>
      </c>
      <c r="R33" s="67" t="s">
        <v>132</v>
      </c>
      <c r="S33" s="85" t="s">
        <v>132</v>
      </c>
      <c r="T33" s="89">
        <v>2.8356212655213202E-3</v>
      </c>
    </row>
    <row r="34" spans="1:20" x14ac:dyDescent="0.2">
      <c r="A34" s="72" t="s">
        <v>69</v>
      </c>
      <c r="B34" s="78" t="s">
        <v>68</v>
      </c>
      <c r="C34" s="105">
        <v>1.1494296497467E-3</v>
      </c>
      <c r="D34" s="106" t="s">
        <v>132</v>
      </c>
      <c r="E34" s="66">
        <v>1.6265513911509899E-5</v>
      </c>
      <c r="F34" s="66">
        <v>2.0602984287912599E-4</v>
      </c>
      <c r="G34" s="66">
        <v>6.50620556460398E-5</v>
      </c>
      <c r="H34" s="66">
        <v>4.3374703764026502E-5</v>
      </c>
      <c r="I34" s="66">
        <v>2.38560870702146E-3</v>
      </c>
      <c r="J34" s="66" t="s">
        <v>132</v>
      </c>
      <c r="K34" s="66" t="s">
        <v>132</v>
      </c>
      <c r="L34" s="66" t="s">
        <v>132</v>
      </c>
      <c r="M34" s="66">
        <v>8.1327569557549699E-5</v>
      </c>
      <c r="N34" s="66">
        <v>5.4218379705033102E-6</v>
      </c>
      <c r="O34" s="66" t="s">
        <v>132</v>
      </c>
      <c r="P34" s="66" t="s">
        <v>132</v>
      </c>
      <c r="Q34" s="66" t="s">
        <v>132</v>
      </c>
      <c r="R34" s="66">
        <v>2.1687351882013302E-5</v>
      </c>
      <c r="S34" s="84">
        <v>6.6959698935715904E-3</v>
      </c>
      <c r="T34" s="88">
        <v>1.0670177125950519E-2</v>
      </c>
    </row>
    <row r="35" spans="1:20" x14ac:dyDescent="0.2">
      <c r="A35" s="71" t="s">
        <v>77</v>
      </c>
      <c r="B35" s="79" t="s">
        <v>70</v>
      </c>
      <c r="C35" s="103">
        <v>8.8375958919204001E-4</v>
      </c>
      <c r="D35" s="104" t="s">
        <v>132</v>
      </c>
      <c r="E35" s="67" t="s">
        <v>132</v>
      </c>
      <c r="F35" s="67" t="s">
        <v>132</v>
      </c>
      <c r="G35" s="67" t="s">
        <v>132</v>
      </c>
      <c r="H35" s="67" t="s">
        <v>132</v>
      </c>
      <c r="I35" s="67">
        <v>7.5363547789995995E-4</v>
      </c>
      <c r="J35" s="67" t="s">
        <v>132</v>
      </c>
      <c r="K35" s="67">
        <v>1.31750662683231E-3</v>
      </c>
      <c r="L35" s="67">
        <v>1.86511226185314E-3</v>
      </c>
      <c r="M35" s="67">
        <v>1.78920653026609E-4</v>
      </c>
      <c r="N35" s="67" t="s">
        <v>132</v>
      </c>
      <c r="O35" s="67" t="s">
        <v>132</v>
      </c>
      <c r="P35" s="67" t="s">
        <v>132</v>
      </c>
      <c r="Q35" s="67" t="s">
        <v>132</v>
      </c>
      <c r="R35" s="67">
        <v>5.4218379705033102E-6</v>
      </c>
      <c r="S35" s="85">
        <v>2.6133259017826001E-3</v>
      </c>
      <c r="T35" s="89">
        <v>7.6176823485571629E-3</v>
      </c>
    </row>
    <row r="36" spans="1:20" x14ac:dyDescent="0.2">
      <c r="A36" s="72" t="s">
        <v>28</v>
      </c>
      <c r="B36" s="78" t="s">
        <v>70</v>
      </c>
      <c r="C36" s="105" t="s">
        <v>132</v>
      </c>
      <c r="D36" s="106" t="s">
        <v>132</v>
      </c>
      <c r="E36" s="66" t="s">
        <v>132</v>
      </c>
      <c r="F36" s="66" t="s">
        <v>132</v>
      </c>
      <c r="G36" s="66" t="s">
        <v>132</v>
      </c>
      <c r="H36" s="66" t="s">
        <v>132</v>
      </c>
      <c r="I36" s="66" t="s">
        <v>132</v>
      </c>
      <c r="J36" s="66" t="s">
        <v>132</v>
      </c>
      <c r="K36" s="66" t="s">
        <v>132</v>
      </c>
      <c r="L36" s="66" t="s">
        <v>132</v>
      </c>
      <c r="M36" s="66" t="s">
        <v>132</v>
      </c>
      <c r="N36" s="66" t="s">
        <v>132</v>
      </c>
      <c r="O36" s="66" t="s">
        <v>132</v>
      </c>
      <c r="P36" s="66" t="s">
        <v>132</v>
      </c>
      <c r="Q36" s="66" t="s">
        <v>132</v>
      </c>
      <c r="R36" s="66" t="s">
        <v>132</v>
      </c>
      <c r="S36" s="84">
        <v>1.8000502062071001E-3</v>
      </c>
      <c r="T36" s="88">
        <v>1.8000502062071001E-3</v>
      </c>
    </row>
    <row r="37" spans="1:20" x14ac:dyDescent="0.2">
      <c r="A37" s="71" t="s">
        <v>29</v>
      </c>
      <c r="B37" s="79" t="s">
        <v>70</v>
      </c>
      <c r="C37" s="103" t="s">
        <v>132</v>
      </c>
      <c r="D37" s="104" t="s">
        <v>132</v>
      </c>
      <c r="E37" s="67" t="s">
        <v>132</v>
      </c>
      <c r="F37" s="67" t="s">
        <v>132</v>
      </c>
      <c r="G37" s="67" t="s">
        <v>132</v>
      </c>
      <c r="H37" s="67" t="s">
        <v>132</v>
      </c>
      <c r="I37" s="67">
        <v>5.4218379705033102E-6</v>
      </c>
      <c r="J37" s="67" t="s">
        <v>132</v>
      </c>
      <c r="K37" s="67" t="s">
        <v>132</v>
      </c>
      <c r="L37" s="67" t="s">
        <v>132</v>
      </c>
      <c r="M37" s="67" t="s">
        <v>132</v>
      </c>
      <c r="N37" s="67" t="s">
        <v>132</v>
      </c>
      <c r="O37" s="67" t="s">
        <v>132</v>
      </c>
      <c r="P37" s="67" t="s">
        <v>132</v>
      </c>
      <c r="Q37" s="67" t="s">
        <v>132</v>
      </c>
      <c r="R37" s="67" t="s">
        <v>132</v>
      </c>
      <c r="S37" s="85" t="s">
        <v>132</v>
      </c>
      <c r="T37" s="89">
        <v>5.4218379705033102E-6</v>
      </c>
    </row>
    <row r="38" spans="1:20" x14ac:dyDescent="0.2">
      <c r="A38" s="72" t="s">
        <v>30</v>
      </c>
      <c r="B38" s="78" t="s">
        <v>70</v>
      </c>
      <c r="C38" s="105" t="s">
        <v>132</v>
      </c>
      <c r="D38" s="106" t="s">
        <v>132</v>
      </c>
      <c r="E38" s="66" t="s">
        <v>132</v>
      </c>
      <c r="F38" s="66">
        <v>2.1687351882013302E-5</v>
      </c>
      <c r="G38" s="66" t="s">
        <v>132</v>
      </c>
      <c r="H38" s="66">
        <v>5.6929298690284796E-4</v>
      </c>
      <c r="I38" s="66">
        <v>1.6807697708560299E-4</v>
      </c>
      <c r="J38" s="66" t="s">
        <v>132</v>
      </c>
      <c r="K38" s="66" t="s">
        <v>132</v>
      </c>
      <c r="L38" s="66" t="s">
        <v>132</v>
      </c>
      <c r="M38" s="66" t="s">
        <v>132</v>
      </c>
      <c r="N38" s="66" t="s">
        <v>132</v>
      </c>
      <c r="O38" s="66" t="s">
        <v>132</v>
      </c>
      <c r="P38" s="66" t="s">
        <v>132</v>
      </c>
      <c r="Q38" s="66" t="s">
        <v>132</v>
      </c>
      <c r="R38" s="66" t="s">
        <v>132</v>
      </c>
      <c r="S38" s="84">
        <v>4.0826439917890003E-3</v>
      </c>
      <c r="T38" s="88">
        <v>4.8417013076594642E-3</v>
      </c>
    </row>
    <row r="39" spans="1:20" x14ac:dyDescent="0.2">
      <c r="A39" s="71" t="s">
        <v>31</v>
      </c>
      <c r="B39" s="79" t="s">
        <v>70</v>
      </c>
      <c r="C39" s="103" t="s">
        <v>132</v>
      </c>
      <c r="D39" s="104" t="s">
        <v>132</v>
      </c>
      <c r="E39" s="67" t="s">
        <v>132</v>
      </c>
      <c r="F39" s="67" t="s">
        <v>132</v>
      </c>
      <c r="G39" s="67" t="s">
        <v>132</v>
      </c>
      <c r="H39" s="67" t="s">
        <v>132</v>
      </c>
      <c r="I39" s="67">
        <v>1.08436759410066E-5</v>
      </c>
      <c r="J39" s="67" t="s">
        <v>132</v>
      </c>
      <c r="K39" s="67">
        <v>1.6807697708560299E-4</v>
      </c>
      <c r="L39" s="67" t="s">
        <v>132</v>
      </c>
      <c r="M39" s="67" t="s">
        <v>132</v>
      </c>
      <c r="N39" s="67" t="s">
        <v>132</v>
      </c>
      <c r="O39" s="67" t="s">
        <v>132</v>
      </c>
      <c r="P39" s="67" t="s">
        <v>132</v>
      </c>
      <c r="Q39" s="67" t="s">
        <v>132</v>
      </c>
      <c r="R39" s="67" t="s">
        <v>132</v>
      </c>
      <c r="S39" s="85">
        <v>7.7532282978197398E-4</v>
      </c>
      <c r="T39" s="89">
        <v>9.542434828085836E-4</v>
      </c>
    </row>
    <row r="40" spans="1:20" x14ac:dyDescent="0.2">
      <c r="A40" s="72" t="s">
        <v>20</v>
      </c>
      <c r="B40" s="78" t="s">
        <v>70</v>
      </c>
      <c r="C40" s="105" t="s">
        <v>132</v>
      </c>
      <c r="D40" s="106" t="s">
        <v>132</v>
      </c>
      <c r="E40" s="66" t="s">
        <v>132</v>
      </c>
      <c r="F40" s="66" t="s">
        <v>132</v>
      </c>
      <c r="G40" s="66">
        <v>3.25310278230199E-5</v>
      </c>
      <c r="H40" s="66" t="s">
        <v>132</v>
      </c>
      <c r="I40" s="66" t="s">
        <v>132</v>
      </c>
      <c r="J40" s="66" t="s">
        <v>132</v>
      </c>
      <c r="K40" s="66" t="s">
        <v>132</v>
      </c>
      <c r="L40" s="66" t="s">
        <v>132</v>
      </c>
      <c r="M40" s="66" t="s">
        <v>132</v>
      </c>
      <c r="N40" s="66" t="s">
        <v>132</v>
      </c>
      <c r="O40" s="66" t="s">
        <v>132</v>
      </c>
      <c r="P40" s="66" t="s">
        <v>132</v>
      </c>
      <c r="Q40" s="66" t="s">
        <v>132</v>
      </c>
      <c r="R40" s="66" t="s">
        <v>132</v>
      </c>
      <c r="S40" s="84" t="s">
        <v>132</v>
      </c>
      <c r="T40" s="88">
        <v>3.25310278230199E-5</v>
      </c>
    </row>
    <row r="41" spans="1:20" x14ac:dyDescent="0.2">
      <c r="A41" s="71" t="s">
        <v>32</v>
      </c>
      <c r="B41" s="79" t="s">
        <v>70</v>
      </c>
      <c r="C41" s="103">
        <v>1.4638962520358901E-4</v>
      </c>
      <c r="D41" s="104" t="s">
        <v>132</v>
      </c>
      <c r="E41" s="67" t="s">
        <v>132</v>
      </c>
      <c r="F41" s="67">
        <v>5.36761959079828E-4</v>
      </c>
      <c r="G41" s="67" t="s">
        <v>132</v>
      </c>
      <c r="H41" s="67" t="s">
        <v>132</v>
      </c>
      <c r="I41" s="67" t="s">
        <v>132</v>
      </c>
      <c r="J41" s="67" t="s">
        <v>132</v>
      </c>
      <c r="K41" s="67" t="s">
        <v>132</v>
      </c>
      <c r="L41" s="67" t="s">
        <v>132</v>
      </c>
      <c r="M41" s="67" t="s">
        <v>132</v>
      </c>
      <c r="N41" s="67" t="s">
        <v>132</v>
      </c>
      <c r="O41" s="67" t="s">
        <v>132</v>
      </c>
      <c r="P41" s="67" t="s">
        <v>132</v>
      </c>
      <c r="Q41" s="67" t="s">
        <v>132</v>
      </c>
      <c r="R41" s="67" t="s">
        <v>132</v>
      </c>
      <c r="S41" s="85">
        <v>6.6905480556010899E-3</v>
      </c>
      <c r="T41" s="89">
        <v>7.3736996398845065E-3</v>
      </c>
    </row>
    <row r="42" spans="1:20" x14ac:dyDescent="0.2">
      <c r="A42" s="72" t="s">
        <v>23</v>
      </c>
      <c r="B42" s="78" t="s">
        <v>71</v>
      </c>
      <c r="C42" s="105" t="s">
        <v>132</v>
      </c>
      <c r="D42" s="106" t="s">
        <v>132</v>
      </c>
      <c r="E42" s="66" t="s">
        <v>132</v>
      </c>
      <c r="F42" s="66" t="s">
        <v>132</v>
      </c>
      <c r="G42" s="66" t="s">
        <v>132</v>
      </c>
      <c r="H42" s="66" t="s">
        <v>132</v>
      </c>
      <c r="I42" s="66" t="s">
        <v>132</v>
      </c>
      <c r="J42" s="66" t="s">
        <v>132</v>
      </c>
      <c r="K42" s="66" t="s">
        <v>132</v>
      </c>
      <c r="L42" s="66">
        <v>4.81323665831432E-3</v>
      </c>
      <c r="M42" s="66" t="s">
        <v>132</v>
      </c>
      <c r="N42" s="66" t="s">
        <v>132</v>
      </c>
      <c r="O42" s="66" t="s">
        <v>132</v>
      </c>
      <c r="P42" s="66" t="s">
        <v>132</v>
      </c>
      <c r="Q42" s="66" t="s">
        <v>132</v>
      </c>
      <c r="R42" s="66" t="s">
        <v>132</v>
      </c>
      <c r="S42" s="84" t="s">
        <v>132</v>
      </c>
      <c r="T42" s="88">
        <v>4.81323665831432E-3</v>
      </c>
    </row>
    <row r="43" spans="1:20" x14ac:dyDescent="0.2">
      <c r="A43" s="71" t="s">
        <v>24</v>
      </c>
      <c r="B43" s="79" t="s">
        <v>72</v>
      </c>
      <c r="C43" s="103" t="s">
        <v>132</v>
      </c>
      <c r="D43" s="104" t="s">
        <v>132</v>
      </c>
      <c r="E43" s="67" t="s">
        <v>132</v>
      </c>
      <c r="F43" s="67" t="s">
        <v>132</v>
      </c>
      <c r="G43" s="67" t="s">
        <v>132</v>
      </c>
      <c r="H43" s="67" t="s">
        <v>132</v>
      </c>
      <c r="I43" s="67" t="s">
        <v>132</v>
      </c>
      <c r="J43" s="67" t="s">
        <v>132</v>
      </c>
      <c r="K43" s="67" t="s">
        <v>132</v>
      </c>
      <c r="L43" s="67" t="s">
        <v>132</v>
      </c>
      <c r="M43" s="67" t="s">
        <v>132</v>
      </c>
      <c r="N43" s="67" t="s">
        <v>132</v>
      </c>
      <c r="O43" s="67" t="s">
        <v>132</v>
      </c>
      <c r="P43" s="67">
        <v>2.8071566092280901E-2</v>
      </c>
      <c r="Q43" s="67" t="s">
        <v>132</v>
      </c>
      <c r="R43" s="67" t="s">
        <v>132</v>
      </c>
      <c r="S43" s="85" t="s">
        <v>132</v>
      </c>
      <c r="T43" s="89">
        <v>2.8071566092280901E-2</v>
      </c>
    </row>
    <row r="44" spans="1:20" x14ac:dyDescent="0.2">
      <c r="A44" s="72" t="s">
        <v>25</v>
      </c>
      <c r="B44" s="78" t="s">
        <v>72</v>
      </c>
      <c r="C44" s="105" t="s">
        <v>132</v>
      </c>
      <c r="D44" s="106" t="s">
        <v>132</v>
      </c>
      <c r="E44" s="66" t="s">
        <v>132</v>
      </c>
      <c r="F44" s="66" t="s">
        <v>132</v>
      </c>
      <c r="G44" s="66" t="s">
        <v>132</v>
      </c>
      <c r="H44" s="66" t="s">
        <v>132</v>
      </c>
      <c r="I44" s="66" t="s">
        <v>132</v>
      </c>
      <c r="J44" s="66" t="s">
        <v>132</v>
      </c>
      <c r="K44" s="66" t="s">
        <v>132</v>
      </c>
      <c r="L44" s="66" t="s">
        <v>132</v>
      </c>
      <c r="M44" s="66" t="s">
        <v>132</v>
      </c>
      <c r="N44" s="66" t="s">
        <v>132</v>
      </c>
      <c r="O44" s="66" t="s">
        <v>132</v>
      </c>
      <c r="P44" s="66">
        <v>3.6616111641895599E-2</v>
      </c>
      <c r="Q44" s="66" t="s">
        <v>132</v>
      </c>
      <c r="R44" s="66" t="s">
        <v>132</v>
      </c>
      <c r="S44" s="84" t="s">
        <v>132</v>
      </c>
      <c r="T44" s="88">
        <v>3.6616111641895599E-2</v>
      </c>
    </row>
    <row r="45" spans="1:20" x14ac:dyDescent="0.2">
      <c r="A45" s="71" t="s">
        <v>78</v>
      </c>
      <c r="B45" s="79" t="s">
        <v>72</v>
      </c>
      <c r="C45" s="103" t="s">
        <v>132</v>
      </c>
      <c r="D45" s="104" t="s">
        <v>132</v>
      </c>
      <c r="E45" s="67" t="s">
        <v>132</v>
      </c>
      <c r="F45" s="67" t="s">
        <v>132</v>
      </c>
      <c r="G45" s="67" t="s">
        <v>132</v>
      </c>
      <c r="H45" s="67" t="s">
        <v>132</v>
      </c>
      <c r="I45" s="67" t="s">
        <v>132</v>
      </c>
      <c r="J45" s="67" t="s">
        <v>132</v>
      </c>
      <c r="K45" s="67" t="s">
        <v>132</v>
      </c>
      <c r="L45" s="67" t="s">
        <v>132</v>
      </c>
      <c r="M45" s="67" t="s">
        <v>132</v>
      </c>
      <c r="N45" s="67" t="s">
        <v>132</v>
      </c>
      <c r="O45" s="67" t="s">
        <v>132</v>
      </c>
      <c r="P45" s="67" t="s">
        <v>132</v>
      </c>
      <c r="Q45" s="67">
        <v>2.7651373649566929E-4</v>
      </c>
      <c r="R45" s="67" t="s">
        <v>132</v>
      </c>
      <c r="S45" s="85" t="s">
        <v>132</v>
      </c>
      <c r="T45" s="89">
        <v>2.7651373649566929E-4</v>
      </c>
    </row>
    <row r="46" spans="1:20" x14ac:dyDescent="0.2">
      <c r="A46" s="72" t="s">
        <v>26</v>
      </c>
      <c r="B46" s="78" t="s">
        <v>72</v>
      </c>
      <c r="C46" s="105" t="s">
        <v>132</v>
      </c>
      <c r="D46" s="106" t="s">
        <v>132</v>
      </c>
      <c r="E46" s="66" t="s">
        <v>132</v>
      </c>
      <c r="F46" s="66" t="s">
        <v>132</v>
      </c>
      <c r="G46" s="66" t="s">
        <v>132</v>
      </c>
      <c r="H46" s="66" t="s">
        <v>132</v>
      </c>
      <c r="I46" s="66" t="s">
        <v>132</v>
      </c>
      <c r="J46" s="66" t="s">
        <v>132</v>
      </c>
      <c r="K46" s="66" t="s">
        <v>132</v>
      </c>
      <c r="L46" s="66" t="s">
        <v>132</v>
      </c>
      <c r="M46" s="66" t="s">
        <v>132</v>
      </c>
      <c r="N46" s="66" t="s">
        <v>132</v>
      </c>
      <c r="O46" s="66" t="s">
        <v>132</v>
      </c>
      <c r="P46" s="66">
        <v>1.1212360923000901E-2</v>
      </c>
      <c r="Q46" s="66" t="s">
        <v>132</v>
      </c>
      <c r="R46" s="66" t="s">
        <v>132</v>
      </c>
      <c r="S46" s="84" t="s">
        <v>132</v>
      </c>
      <c r="T46" s="88">
        <v>1.1212360923000901E-2</v>
      </c>
    </row>
    <row r="47" spans="1:20" ht="13.5" thickBot="1" x14ac:dyDescent="0.25">
      <c r="A47" s="82" t="s">
        <v>27</v>
      </c>
      <c r="B47" s="81" t="s">
        <v>72</v>
      </c>
      <c r="C47" s="107" t="s">
        <v>132</v>
      </c>
      <c r="D47" s="108" t="s">
        <v>132</v>
      </c>
      <c r="E47" s="74" t="s">
        <v>132</v>
      </c>
      <c r="F47" s="74" t="s">
        <v>132</v>
      </c>
      <c r="G47" s="74" t="s">
        <v>132</v>
      </c>
      <c r="H47" s="74" t="s">
        <v>132</v>
      </c>
      <c r="I47" s="74" t="s">
        <v>132</v>
      </c>
      <c r="J47" s="74" t="s">
        <v>132</v>
      </c>
      <c r="K47" s="74" t="s">
        <v>132</v>
      </c>
      <c r="L47" s="74" t="s">
        <v>132</v>
      </c>
      <c r="M47" s="74" t="s">
        <v>132</v>
      </c>
      <c r="N47" s="74" t="s">
        <v>132</v>
      </c>
      <c r="O47" s="74" t="s">
        <v>132</v>
      </c>
      <c r="P47" s="74" t="s">
        <v>132</v>
      </c>
      <c r="Q47" s="74">
        <v>1.4172684454895701E-2</v>
      </c>
      <c r="R47" s="74" t="s">
        <v>132</v>
      </c>
      <c r="S47" s="86" t="s">
        <v>132</v>
      </c>
      <c r="T47" s="75">
        <v>1.4172684454895701E-2</v>
      </c>
    </row>
    <row r="48" spans="1:20" ht="14.25" thickTop="1" thickBot="1" x14ac:dyDescent="0.25">
      <c r="A48" s="70" t="s">
        <v>0</v>
      </c>
      <c r="B48" s="80"/>
      <c r="C48" s="101">
        <v>1.5614893355049547E-2</v>
      </c>
      <c r="D48" s="102" t="s">
        <v>132</v>
      </c>
      <c r="E48" s="73">
        <v>2.4289834107854842E-3</v>
      </c>
      <c r="F48" s="73">
        <v>4.0772221538184893E-3</v>
      </c>
      <c r="G48" s="73">
        <v>1.1928043535107291E-4</v>
      </c>
      <c r="H48" s="73">
        <v>8.078538576049934E-4</v>
      </c>
      <c r="I48" s="73">
        <v>8.1652879835779953E-3</v>
      </c>
      <c r="J48" s="73" t="s">
        <v>132</v>
      </c>
      <c r="K48" s="73">
        <v>4.3212048694392328E-3</v>
      </c>
      <c r="L48" s="73">
        <v>6.6783489201674602E-3</v>
      </c>
      <c r="M48" s="73">
        <v>4.5543438952227815E-4</v>
      </c>
      <c r="N48" s="73">
        <v>5.4218379705033102E-6</v>
      </c>
      <c r="O48" s="73" t="s">
        <v>132</v>
      </c>
      <c r="P48" s="73">
        <v>7.5900038657177399E-2</v>
      </c>
      <c r="Q48" s="73">
        <v>1.444919819139137E-2</v>
      </c>
      <c r="R48" s="73">
        <v>8.6749407528053112E-5</v>
      </c>
      <c r="S48" s="87">
        <v>2.9120691739573303E-2</v>
      </c>
      <c r="T48" s="90">
        <v>0.16223060920895715</v>
      </c>
    </row>
    <row r="51" spans="1:20" ht="15" x14ac:dyDescent="0.25">
      <c r="A51" s="109" t="s">
        <v>111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</row>
    <row r="52" spans="1:20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13.5" thickBot="1" x14ac:dyDescent="0.25">
      <c r="A53" s="31" t="s">
        <v>133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</row>
    <row r="54" spans="1:20" ht="39" thickBot="1" x14ac:dyDescent="0.25">
      <c r="A54" s="77" t="s">
        <v>65</v>
      </c>
      <c r="B54" s="76" t="s">
        <v>73</v>
      </c>
      <c r="C54" s="91" t="s">
        <v>74</v>
      </c>
      <c r="D54" s="92" t="s">
        <v>75</v>
      </c>
      <c r="E54" s="68" t="s">
        <v>50</v>
      </c>
      <c r="F54" s="68" t="s">
        <v>51</v>
      </c>
      <c r="G54" s="68" t="s">
        <v>52</v>
      </c>
      <c r="H54" s="68" t="s">
        <v>53</v>
      </c>
      <c r="I54" s="68" t="s">
        <v>63</v>
      </c>
      <c r="J54" s="68" t="s">
        <v>54</v>
      </c>
      <c r="K54" s="68" t="s">
        <v>55</v>
      </c>
      <c r="L54" s="68" t="s">
        <v>56</v>
      </c>
      <c r="M54" s="68" t="s">
        <v>57</v>
      </c>
      <c r="N54" s="68" t="s">
        <v>58</v>
      </c>
      <c r="O54" s="68" t="s">
        <v>59</v>
      </c>
      <c r="P54" s="68" t="s">
        <v>60</v>
      </c>
      <c r="Q54" s="68" t="s">
        <v>61</v>
      </c>
      <c r="R54" s="68" t="s">
        <v>81</v>
      </c>
      <c r="S54" s="83" t="s">
        <v>62</v>
      </c>
      <c r="T54" s="69" t="s">
        <v>0</v>
      </c>
    </row>
    <row r="55" spans="1:20" x14ac:dyDescent="0.2">
      <c r="A55" s="72" t="s">
        <v>67</v>
      </c>
      <c r="B55" s="78" t="s">
        <v>68</v>
      </c>
      <c r="C55" s="93">
        <v>6.2775348243880175E-2</v>
      </c>
      <c r="D55" s="94">
        <v>6.7229536546772398E-3</v>
      </c>
      <c r="E55" s="66">
        <v>2.7919704227068753E-2</v>
      </c>
      <c r="F55" s="66">
        <v>2.3734063659693893E-2</v>
      </c>
      <c r="G55" s="66">
        <v>5.6487627126076002E-4</v>
      </c>
      <c r="H55" s="66">
        <v>3.0558880248532898E-4</v>
      </c>
      <c r="I55" s="66">
        <v>1.6946288137822737E-3</v>
      </c>
      <c r="J55" s="66" t="s">
        <v>132</v>
      </c>
      <c r="K55" s="66" t="s">
        <v>132</v>
      </c>
      <c r="L55" s="66" t="s">
        <v>132</v>
      </c>
      <c r="M55" s="66">
        <v>4.3523253687304431E-4</v>
      </c>
      <c r="N55" s="66">
        <v>7.5934187284233299E-4</v>
      </c>
      <c r="O55" s="66" t="s">
        <v>132</v>
      </c>
      <c r="P55" s="66" t="s">
        <v>132</v>
      </c>
      <c r="Q55" s="66" t="s">
        <v>132</v>
      </c>
      <c r="R55" s="66">
        <v>1.8520533483959339E-5</v>
      </c>
      <c r="S55" s="84">
        <v>1.2316154766832967E-3</v>
      </c>
      <c r="T55" s="88">
        <v>0.12616187409273105</v>
      </c>
    </row>
    <row r="56" spans="1:20" x14ac:dyDescent="0.2">
      <c r="A56" s="71" t="s">
        <v>19</v>
      </c>
      <c r="B56" s="79" t="s">
        <v>68</v>
      </c>
      <c r="C56" s="103">
        <v>1.1214183024537401E-2</v>
      </c>
      <c r="D56" s="104" t="s">
        <v>132</v>
      </c>
      <c r="E56" s="67" t="s">
        <v>132</v>
      </c>
      <c r="F56" s="67" t="s">
        <v>132</v>
      </c>
      <c r="G56" s="67" t="s">
        <v>132</v>
      </c>
      <c r="H56" s="67" t="s">
        <v>132</v>
      </c>
      <c r="I56" s="67" t="s">
        <v>132</v>
      </c>
      <c r="J56" s="67" t="s">
        <v>132</v>
      </c>
      <c r="K56" s="67" t="s">
        <v>132</v>
      </c>
      <c r="L56" s="67" t="s">
        <v>132</v>
      </c>
      <c r="M56" s="67" t="s">
        <v>132</v>
      </c>
      <c r="N56" s="67" t="s">
        <v>132</v>
      </c>
      <c r="O56" s="67" t="s">
        <v>132</v>
      </c>
      <c r="P56" s="67" t="s">
        <v>132</v>
      </c>
      <c r="Q56" s="67" t="s">
        <v>132</v>
      </c>
      <c r="R56" s="67" t="s">
        <v>132</v>
      </c>
      <c r="S56" s="85" t="s">
        <v>132</v>
      </c>
      <c r="T56" s="89">
        <v>1.1214183024537401E-2</v>
      </c>
    </row>
    <row r="57" spans="1:20" x14ac:dyDescent="0.2">
      <c r="A57" s="72" t="s">
        <v>21</v>
      </c>
      <c r="B57" s="78" t="s">
        <v>68</v>
      </c>
      <c r="C57" s="105">
        <v>9.2602667419796695E-6</v>
      </c>
      <c r="D57" s="106" t="s">
        <v>132</v>
      </c>
      <c r="E57" s="66">
        <v>8.3342400677817005E-5</v>
      </c>
      <c r="F57" s="66">
        <v>2.4076693529147101E-4</v>
      </c>
      <c r="G57" s="66">
        <v>9.2602667419796695E-6</v>
      </c>
      <c r="H57" s="66">
        <v>1.0464101418437E-3</v>
      </c>
      <c r="I57" s="66">
        <v>1.07604299541804E-2</v>
      </c>
      <c r="J57" s="66" t="s">
        <v>132</v>
      </c>
      <c r="K57" s="66" t="s">
        <v>132</v>
      </c>
      <c r="L57" s="66" t="s">
        <v>132</v>
      </c>
      <c r="M57" s="66">
        <v>9.2602667419796695E-6</v>
      </c>
      <c r="N57" s="66" t="s">
        <v>132</v>
      </c>
      <c r="O57" s="66" t="s">
        <v>132</v>
      </c>
      <c r="P57" s="66" t="s">
        <v>132</v>
      </c>
      <c r="Q57" s="66" t="s">
        <v>132</v>
      </c>
      <c r="R57" s="66" t="s">
        <v>132</v>
      </c>
      <c r="S57" s="84">
        <v>3.9356133653413597E-3</v>
      </c>
      <c r="T57" s="88">
        <v>1.6094343597560685E-2</v>
      </c>
    </row>
    <row r="58" spans="1:20" x14ac:dyDescent="0.2">
      <c r="A58" s="71" t="s">
        <v>22</v>
      </c>
      <c r="B58" s="79" t="s">
        <v>68</v>
      </c>
      <c r="C58" s="103" t="s">
        <v>132</v>
      </c>
      <c r="D58" s="104" t="s">
        <v>132</v>
      </c>
      <c r="E58" s="67" t="s">
        <v>132</v>
      </c>
      <c r="F58" s="67" t="s">
        <v>132</v>
      </c>
      <c r="G58" s="67" t="s">
        <v>132</v>
      </c>
      <c r="H58" s="67" t="s">
        <v>132</v>
      </c>
      <c r="I58" s="67" t="s">
        <v>132</v>
      </c>
      <c r="J58" s="67" t="s">
        <v>132</v>
      </c>
      <c r="K58" s="67">
        <v>2.6391760218781699E-3</v>
      </c>
      <c r="L58" s="67" t="s">
        <v>132</v>
      </c>
      <c r="M58" s="67" t="s">
        <v>132</v>
      </c>
      <c r="N58" s="67" t="s">
        <v>132</v>
      </c>
      <c r="O58" s="67" t="s">
        <v>132</v>
      </c>
      <c r="P58" s="67" t="s">
        <v>132</v>
      </c>
      <c r="Q58" s="67" t="s">
        <v>132</v>
      </c>
      <c r="R58" s="67" t="s">
        <v>132</v>
      </c>
      <c r="S58" s="85" t="s">
        <v>132</v>
      </c>
      <c r="T58" s="89">
        <v>2.6391760218781699E-3</v>
      </c>
    </row>
    <row r="59" spans="1:20" x14ac:dyDescent="0.2">
      <c r="A59" s="72" t="s">
        <v>69</v>
      </c>
      <c r="B59" s="78" t="s">
        <v>68</v>
      </c>
      <c r="C59" s="105">
        <v>1.8520533483959302E-5</v>
      </c>
      <c r="D59" s="106" t="s">
        <v>132</v>
      </c>
      <c r="E59" s="66">
        <v>9.2602667419796695E-6</v>
      </c>
      <c r="F59" s="66">
        <v>8.5194454026212897E-4</v>
      </c>
      <c r="G59" s="66">
        <v>8.3342400677817005E-5</v>
      </c>
      <c r="H59" s="66">
        <v>3.88931203163146E-4</v>
      </c>
      <c r="I59" s="66">
        <v>3.0095866911433902E-3</v>
      </c>
      <c r="J59" s="66">
        <v>2.7780800225939002E-5</v>
      </c>
      <c r="K59" s="66" t="s">
        <v>132</v>
      </c>
      <c r="L59" s="66" t="s">
        <v>132</v>
      </c>
      <c r="M59" s="66">
        <v>2.2224640180751201E-4</v>
      </c>
      <c r="N59" s="66" t="s">
        <v>132</v>
      </c>
      <c r="O59" s="66" t="s">
        <v>132</v>
      </c>
      <c r="P59" s="66" t="s">
        <v>132</v>
      </c>
      <c r="Q59" s="66" t="s">
        <v>132</v>
      </c>
      <c r="R59" s="66">
        <v>4.63013337098983E-5</v>
      </c>
      <c r="S59" s="84">
        <v>4.2041611008587698E-3</v>
      </c>
      <c r="T59" s="88">
        <v>8.8620752720745405E-3</v>
      </c>
    </row>
    <row r="60" spans="1:20" x14ac:dyDescent="0.2">
      <c r="A60" s="71" t="s">
        <v>77</v>
      </c>
      <c r="B60" s="79" t="s">
        <v>70</v>
      </c>
      <c r="C60" s="103">
        <v>6.20437871712638E-4</v>
      </c>
      <c r="D60" s="104" t="s">
        <v>132</v>
      </c>
      <c r="E60" s="67" t="s">
        <v>132</v>
      </c>
      <c r="F60" s="67" t="s">
        <v>132</v>
      </c>
      <c r="G60" s="67" t="s">
        <v>132</v>
      </c>
      <c r="H60" s="67" t="s">
        <v>132</v>
      </c>
      <c r="I60" s="67">
        <v>5.2783520429284104E-4</v>
      </c>
      <c r="J60" s="67" t="s">
        <v>132</v>
      </c>
      <c r="K60" s="67">
        <v>9.3528694093994598E-4</v>
      </c>
      <c r="L60" s="67">
        <v>1.1112320090375601E-4</v>
      </c>
      <c r="M60" s="67">
        <v>1.8520533483959302E-5</v>
      </c>
      <c r="N60" s="67" t="s">
        <v>132</v>
      </c>
      <c r="O60" s="67" t="s">
        <v>132</v>
      </c>
      <c r="P60" s="67" t="s">
        <v>132</v>
      </c>
      <c r="Q60" s="67" t="s">
        <v>132</v>
      </c>
      <c r="R60" s="67">
        <v>1.8520533483959302E-5</v>
      </c>
      <c r="S60" s="85">
        <v>5.00054404066902E-4</v>
      </c>
      <c r="T60" s="89">
        <v>2.7317786888840022E-3</v>
      </c>
    </row>
    <row r="61" spans="1:20" x14ac:dyDescent="0.2">
      <c r="A61" s="72" t="s">
        <v>28</v>
      </c>
      <c r="B61" s="78" t="s">
        <v>70</v>
      </c>
      <c r="C61" s="105" t="s">
        <v>132</v>
      </c>
      <c r="D61" s="106" t="s">
        <v>132</v>
      </c>
      <c r="E61" s="66" t="s">
        <v>132</v>
      </c>
      <c r="F61" s="66" t="s">
        <v>132</v>
      </c>
      <c r="G61" s="66" t="s">
        <v>132</v>
      </c>
      <c r="H61" s="66" t="s">
        <v>132</v>
      </c>
      <c r="I61" s="66">
        <v>1.0834512088116199E-3</v>
      </c>
      <c r="J61" s="66" t="s">
        <v>132</v>
      </c>
      <c r="K61" s="66" t="s">
        <v>132</v>
      </c>
      <c r="L61" s="66" t="s">
        <v>132</v>
      </c>
      <c r="M61" s="66" t="s">
        <v>132</v>
      </c>
      <c r="N61" s="66" t="s">
        <v>132</v>
      </c>
      <c r="O61" s="66" t="s">
        <v>132</v>
      </c>
      <c r="P61" s="66" t="s">
        <v>132</v>
      </c>
      <c r="Q61" s="66" t="s">
        <v>132</v>
      </c>
      <c r="R61" s="66" t="s">
        <v>132</v>
      </c>
      <c r="S61" s="84">
        <v>3.9170928318574003E-3</v>
      </c>
      <c r="T61" s="88">
        <v>5.0005440406690202E-3</v>
      </c>
    </row>
    <row r="62" spans="1:20" x14ac:dyDescent="0.2">
      <c r="A62" s="71" t="s">
        <v>29</v>
      </c>
      <c r="B62" s="79" t="s">
        <v>70</v>
      </c>
      <c r="C62" s="103" t="s">
        <v>132</v>
      </c>
      <c r="D62" s="104" t="s">
        <v>132</v>
      </c>
      <c r="E62" s="67" t="s">
        <v>132</v>
      </c>
      <c r="F62" s="67" t="s">
        <v>132</v>
      </c>
      <c r="G62" s="67" t="s">
        <v>132</v>
      </c>
      <c r="H62" s="67" t="s">
        <v>132</v>
      </c>
      <c r="I62" s="67" t="s">
        <v>132</v>
      </c>
      <c r="J62" s="67" t="s">
        <v>132</v>
      </c>
      <c r="K62" s="67" t="s">
        <v>132</v>
      </c>
      <c r="L62" s="67" t="s">
        <v>132</v>
      </c>
      <c r="M62" s="67" t="s">
        <v>132</v>
      </c>
      <c r="N62" s="67" t="s">
        <v>132</v>
      </c>
      <c r="O62" s="67" t="s">
        <v>132</v>
      </c>
      <c r="P62" s="67" t="s">
        <v>132</v>
      </c>
      <c r="Q62" s="67" t="s">
        <v>132</v>
      </c>
      <c r="R62" s="67" t="s">
        <v>132</v>
      </c>
      <c r="S62" s="85" t="s">
        <v>132</v>
      </c>
      <c r="T62" s="89" t="s">
        <v>132</v>
      </c>
    </row>
    <row r="63" spans="1:20" x14ac:dyDescent="0.2">
      <c r="A63" s="72" t="s">
        <v>30</v>
      </c>
      <c r="B63" s="78" t="s">
        <v>70</v>
      </c>
      <c r="C63" s="105" t="s">
        <v>132</v>
      </c>
      <c r="D63" s="106" t="s">
        <v>132</v>
      </c>
      <c r="E63" s="66" t="s">
        <v>132</v>
      </c>
      <c r="F63" s="66">
        <v>2.7780800225939002E-5</v>
      </c>
      <c r="G63" s="66">
        <v>9.2602667419796695E-6</v>
      </c>
      <c r="H63" s="66" t="s">
        <v>132</v>
      </c>
      <c r="I63" s="66">
        <v>1.01862934161776E-3</v>
      </c>
      <c r="J63" s="66" t="s">
        <v>132</v>
      </c>
      <c r="K63" s="66" t="s">
        <v>132</v>
      </c>
      <c r="L63" s="66" t="s">
        <v>132</v>
      </c>
      <c r="M63" s="66" t="s">
        <v>132</v>
      </c>
      <c r="N63" s="66" t="s">
        <v>132</v>
      </c>
      <c r="O63" s="66" t="s">
        <v>132</v>
      </c>
      <c r="P63" s="66" t="s">
        <v>132</v>
      </c>
      <c r="Q63" s="66" t="s">
        <v>132</v>
      </c>
      <c r="R63" s="66" t="s">
        <v>132</v>
      </c>
      <c r="S63" s="84">
        <v>1.1177141957569499E-2</v>
      </c>
      <c r="T63" s="88">
        <v>1.2232812366155178E-2</v>
      </c>
    </row>
    <row r="64" spans="1:20" x14ac:dyDescent="0.2">
      <c r="A64" s="71" t="s">
        <v>31</v>
      </c>
      <c r="B64" s="79" t="s">
        <v>70</v>
      </c>
      <c r="C64" s="103" t="s">
        <v>132</v>
      </c>
      <c r="D64" s="104" t="s">
        <v>132</v>
      </c>
      <c r="E64" s="67">
        <v>3.4262986945324801E-4</v>
      </c>
      <c r="F64" s="67">
        <v>2.54657335404441E-3</v>
      </c>
      <c r="G64" s="67" t="s">
        <v>132</v>
      </c>
      <c r="H64" s="67">
        <v>8.8898560723004805E-4</v>
      </c>
      <c r="I64" s="67">
        <v>3.7967093642116601E-4</v>
      </c>
      <c r="J64" s="67" t="s">
        <v>132</v>
      </c>
      <c r="K64" s="67" t="s">
        <v>132</v>
      </c>
      <c r="L64" s="67" t="s">
        <v>132</v>
      </c>
      <c r="M64" s="67" t="s">
        <v>132</v>
      </c>
      <c r="N64" s="67" t="s">
        <v>132</v>
      </c>
      <c r="O64" s="67" t="s">
        <v>132</v>
      </c>
      <c r="P64" s="67" t="s">
        <v>132</v>
      </c>
      <c r="Q64" s="67" t="s">
        <v>132</v>
      </c>
      <c r="R64" s="67" t="s">
        <v>132</v>
      </c>
      <c r="S64" s="85">
        <v>9.0750614071400705E-4</v>
      </c>
      <c r="T64" s="89">
        <v>5.0653659078628791E-3</v>
      </c>
    </row>
    <row r="65" spans="1:20" x14ac:dyDescent="0.2">
      <c r="A65" s="72" t="s">
        <v>20</v>
      </c>
      <c r="B65" s="78" t="s">
        <v>70</v>
      </c>
      <c r="C65" s="105" t="s">
        <v>132</v>
      </c>
      <c r="D65" s="106" t="s">
        <v>132</v>
      </c>
      <c r="E65" s="66" t="s">
        <v>132</v>
      </c>
      <c r="F65" s="66" t="s">
        <v>132</v>
      </c>
      <c r="G65" s="66" t="s">
        <v>132</v>
      </c>
      <c r="H65" s="66" t="s">
        <v>132</v>
      </c>
      <c r="I65" s="66" t="s">
        <v>132</v>
      </c>
      <c r="J65" s="66" t="s">
        <v>132</v>
      </c>
      <c r="K65" s="66" t="s">
        <v>132</v>
      </c>
      <c r="L65" s="66" t="s">
        <v>132</v>
      </c>
      <c r="M65" s="66" t="s">
        <v>132</v>
      </c>
      <c r="N65" s="66" t="s">
        <v>132</v>
      </c>
      <c r="O65" s="66" t="s">
        <v>132</v>
      </c>
      <c r="P65" s="66" t="s">
        <v>132</v>
      </c>
      <c r="Q65" s="66" t="s">
        <v>132</v>
      </c>
      <c r="R65" s="66" t="s">
        <v>132</v>
      </c>
      <c r="S65" s="84" t="s">
        <v>132</v>
      </c>
      <c r="T65" s="88" t="s">
        <v>132</v>
      </c>
    </row>
    <row r="66" spans="1:20" x14ac:dyDescent="0.2">
      <c r="A66" s="71" t="s">
        <v>32</v>
      </c>
      <c r="B66" s="79" t="s">
        <v>70</v>
      </c>
      <c r="C66" s="103">
        <v>9.2602667419796695E-6</v>
      </c>
      <c r="D66" s="104" t="s">
        <v>132</v>
      </c>
      <c r="E66" s="67" t="s">
        <v>132</v>
      </c>
      <c r="F66" s="67">
        <v>4.63013337098983E-5</v>
      </c>
      <c r="G66" s="67" t="s">
        <v>132</v>
      </c>
      <c r="H66" s="67" t="s">
        <v>132</v>
      </c>
      <c r="I66" s="67">
        <v>4.4449280361502403E-4</v>
      </c>
      <c r="J66" s="67" t="s">
        <v>132</v>
      </c>
      <c r="K66" s="67">
        <v>9.2602667419796695E-5</v>
      </c>
      <c r="L66" s="67" t="s">
        <v>132</v>
      </c>
      <c r="M66" s="67" t="s">
        <v>132</v>
      </c>
      <c r="N66" s="67" t="s">
        <v>132</v>
      </c>
      <c r="O66" s="67" t="s">
        <v>132</v>
      </c>
      <c r="P66" s="67" t="s">
        <v>132</v>
      </c>
      <c r="Q66" s="67" t="s">
        <v>132</v>
      </c>
      <c r="R66" s="67" t="s">
        <v>132</v>
      </c>
      <c r="S66" s="85">
        <v>8.6490891370090105E-3</v>
      </c>
      <c r="T66" s="89">
        <v>9.2417462084957089E-3</v>
      </c>
    </row>
    <row r="67" spans="1:20" x14ac:dyDescent="0.2">
      <c r="A67" s="72" t="s">
        <v>23</v>
      </c>
      <c r="B67" s="78" t="s">
        <v>71</v>
      </c>
      <c r="C67" s="105" t="s">
        <v>132</v>
      </c>
      <c r="D67" s="106" t="s">
        <v>132</v>
      </c>
      <c r="E67" s="66" t="s">
        <v>132</v>
      </c>
      <c r="F67" s="66" t="s">
        <v>132</v>
      </c>
      <c r="G67" s="66" t="s">
        <v>132</v>
      </c>
      <c r="H67" s="66" t="s">
        <v>132</v>
      </c>
      <c r="I67" s="66" t="s">
        <v>132</v>
      </c>
      <c r="J67" s="66" t="s">
        <v>132</v>
      </c>
      <c r="K67" s="66" t="s">
        <v>132</v>
      </c>
      <c r="L67" s="66">
        <v>3.9170928318574098E-4</v>
      </c>
      <c r="M67" s="66" t="s">
        <v>132</v>
      </c>
      <c r="N67" s="66" t="s">
        <v>132</v>
      </c>
      <c r="O67" s="66" t="s">
        <v>132</v>
      </c>
      <c r="P67" s="66" t="s">
        <v>132</v>
      </c>
      <c r="Q67" s="66" t="s">
        <v>132</v>
      </c>
      <c r="R67" s="66" t="s">
        <v>132</v>
      </c>
      <c r="S67" s="84" t="s">
        <v>132</v>
      </c>
      <c r="T67" s="88">
        <v>3.9170928318574098E-4</v>
      </c>
    </row>
    <row r="68" spans="1:20" x14ac:dyDescent="0.2">
      <c r="A68" s="71" t="s">
        <v>24</v>
      </c>
      <c r="B68" s="79" t="s">
        <v>72</v>
      </c>
      <c r="C68" s="103" t="s">
        <v>132</v>
      </c>
      <c r="D68" s="104" t="s">
        <v>132</v>
      </c>
      <c r="E68" s="67" t="s">
        <v>132</v>
      </c>
      <c r="F68" s="67" t="s">
        <v>132</v>
      </c>
      <c r="G68" s="67" t="s">
        <v>132</v>
      </c>
      <c r="H68" s="67" t="s">
        <v>132</v>
      </c>
      <c r="I68" s="67" t="s">
        <v>132</v>
      </c>
      <c r="J68" s="67" t="s">
        <v>132</v>
      </c>
      <c r="K68" s="67" t="s">
        <v>132</v>
      </c>
      <c r="L68" s="67" t="s">
        <v>132</v>
      </c>
      <c r="M68" s="67" t="s">
        <v>132</v>
      </c>
      <c r="N68" s="67" t="s">
        <v>132</v>
      </c>
      <c r="O68" s="67" t="s">
        <v>132</v>
      </c>
      <c r="P68" s="67">
        <v>5.1320398284051298E-3</v>
      </c>
      <c r="Q68" s="67" t="s">
        <v>132</v>
      </c>
      <c r="R68" s="67" t="s">
        <v>132</v>
      </c>
      <c r="S68" s="85" t="s">
        <v>132</v>
      </c>
      <c r="T68" s="89">
        <v>5.1320398284051298E-3</v>
      </c>
    </row>
    <row r="69" spans="1:20" x14ac:dyDescent="0.2">
      <c r="A69" s="72" t="s">
        <v>25</v>
      </c>
      <c r="B69" s="78" t="s">
        <v>72</v>
      </c>
      <c r="C69" s="105" t="s">
        <v>132</v>
      </c>
      <c r="D69" s="106" t="s">
        <v>132</v>
      </c>
      <c r="E69" s="66" t="s">
        <v>132</v>
      </c>
      <c r="F69" s="66" t="s">
        <v>132</v>
      </c>
      <c r="G69" s="66" t="s">
        <v>132</v>
      </c>
      <c r="H69" s="66" t="s">
        <v>132</v>
      </c>
      <c r="I69" s="66" t="s">
        <v>132</v>
      </c>
      <c r="J69" s="66" t="s">
        <v>132</v>
      </c>
      <c r="K69" s="66" t="s">
        <v>132</v>
      </c>
      <c r="L69" s="66" t="s">
        <v>132</v>
      </c>
      <c r="M69" s="66" t="s">
        <v>132</v>
      </c>
      <c r="N69" s="66" t="s">
        <v>132</v>
      </c>
      <c r="O69" s="66" t="s">
        <v>132</v>
      </c>
      <c r="P69" s="66">
        <v>3.9695985442844202E-2</v>
      </c>
      <c r="Q69" s="66" t="s">
        <v>132</v>
      </c>
      <c r="R69" s="66" t="s">
        <v>132</v>
      </c>
      <c r="S69" s="84" t="s">
        <v>132</v>
      </c>
      <c r="T69" s="88">
        <v>3.9695985442844202E-2</v>
      </c>
    </row>
    <row r="70" spans="1:20" x14ac:dyDescent="0.2">
      <c r="A70" s="71" t="s">
        <v>78</v>
      </c>
      <c r="B70" s="79" t="s">
        <v>72</v>
      </c>
      <c r="C70" s="103" t="s">
        <v>132</v>
      </c>
      <c r="D70" s="104" t="s">
        <v>132</v>
      </c>
      <c r="E70" s="67" t="s">
        <v>132</v>
      </c>
      <c r="F70" s="67" t="s">
        <v>132</v>
      </c>
      <c r="G70" s="67" t="s">
        <v>132</v>
      </c>
      <c r="H70" s="67" t="s">
        <v>132</v>
      </c>
      <c r="I70" s="67" t="s">
        <v>132</v>
      </c>
      <c r="J70" s="67" t="s">
        <v>132</v>
      </c>
      <c r="K70" s="67" t="s">
        <v>132</v>
      </c>
      <c r="L70" s="67" t="s">
        <v>132</v>
      </c>
      <c r="M70" s="67" t="s">
        <v>132</v>
      </c>
      <c r="N70" s="67" t="s">
        <v>132</v>
      </c>
      <c r="O70" s="67" t="s">
        <v>132</v>
      </c>
      <c r="P70" s="67" t="s">
        <v>132</v>
      </c>
      <c r="Q70" s="67">
        <v>3.7041066967918698E-5</v>
      </c>
      <c r="R70" s="67" t="s">
        <v>132</v>
      </c>
      <c r="S70" s="85" t="s">
        <v>132</v>
      </c>
      <c r="T70" s="89">
        <v>3.7041066967918698E-5</v>
      </c>
    </row>
    <row r="71" spans="1:20" x14ac:dyDescent="0.2">
      <c r="A71" s="72" t="s">
        <v>26</v>
      </c>
      <c r="B71" s="78" t="s">
        <v>72</v>
      </c>
      <c r="C71" s="105" t="s">
        <v>132</v>
      </c>
      <c r="D71" s="106" t="s">
        <v>132</v>
      </c>
      <c r="E71" s="66" t="s">
        <v>132</v>
      </c>
      <c r="F71" s="66" t="s">
        <v>132</v>
      </c>
      <c r="G71" s="66" t="s">
        <v>132</v>
      </c>
      <c r="H71" s="66" t="s">
        <v>132</v>
      </c>
      <c r="I71" s="66" t="s">
        <v>132</v>
      </c>
      <c r="J71" s="66" t="s">
        <v>132</v>
      </c>
      <c r="K71" s="66" t="s">
        <v>132</v>
      </c>
      <c r="L71" s="66" t="s">
        <v>132</v>
      </c>
      <c r="M71" s="66" t="s">
        <v>132</v>
      </c>
      <c r="N71" s="66" t="s">
        <v>132</v>
      </c>
      <c r="O71" s="66" t="s">
        <v>132</v>
      </c>
      <c r="P71" s="66">
        <v>4.1763803006328298E-3</v>
      </c>
      <c r="Q71" s="66" t="s">
        <v>132</v>
      </c>
      <c r="R71" s="66" t="s">
        <v>132</v>
      </c>
      <c r="S71" s="84" t="s">
        <v>132</v>
      </c>
      <c r="T71" s="88">
        <v>4.1763803006328298E-3</v>
      </c>
    </row>
    <row r="72" spans="1:20" ht="13.5" thickBot="1" x14ac:dyDescent="0.25">
      <c r="A72" s="82" t="s">
        <v>27</v>
      </c>
      <c r="B72" s="81" t="s">
        <v>72</v>
      </c>
      <c r="C72" s="107" t="s">
        <v>132</v>
      </c>
      <c r="D72" s="108" t="s">
        <v>132</v>
      </c>
      <c r="E72" s="74" t="s">
        <v>132</v>
      </c>
      <c r="F72" s="74" t="s">
        <v>132</v>
      </c>
      <c r="G72" s="74" t="s">
        <v>132</v>
      </c>
      <c r="H72" s="74" t="s">
        <v>132</v>
      </c>
      <c r="I72" s="74" t="s">
        <v>132</v>
      </c>
      <c r="J72" s="74" t="s">
        <v>132</v>
      </c>
      <c r="K72" s="74" t="s">
        <v>132</v>
      </c>
      <c r="L72" s="74" t="s">
        <v>132</v>
      </c>
      <c r="M72" s="74" t="s">
        <v>132</v>
      </c>
      <c r="N72" s="74" t="s">
        <v>132</v>
      </c>
      <c r="O72" s="74" t="s">
        <v>132</v>
      </c>
      <c r="P72" s="74" t="s">
        <v>132</v>
      </c>
      <c r="Q72" s="74">
        <v>1.6390672133303999E-3</v>
      </c>
      <c r="R72" s="74" t="s">
        <v>132</v>
      </c>
      <c r="S72" s="86" t="s">
        <v>132</v>
      </c>
      <c r="T72" s="75">
        <v>1.6390672133303999E-3</v>
      </c>
    </row>
    <row r="73" spans="1:20" ht="14.25" thickTop="1" thickBot="1" x14ac:dyDescent="0.25">
      <c r="A73" s="70" t="s">
        <v>0</v>
      </c>
      <c r="B73" s="80"/>
      <c r="C73" s="101">
        <v>8.1369963861775349E-2</v>
      </c>
      <c r="D73" s="102" t="s">
        <v>132</v>
      </c>
      <c r="E73" s="73">
        <v>2.8354936763941799E-2</v>
      </c>
      <c r="F73" s="73">
        <v>2.7447430623227742E-2</v>
      </c>
      <c r="G73" s="73">
        <v>6.6673920542253647E-4</v>
      </c>
      <c r="H73" s="73">
        <v>2.6299157547222231E-3</v>
      </c>
      <c r="I73" s="73">
        <v>1.8918724953864471E-2</v>
      </c>
      <c r="J73" s="73">
        <v>2.7780800225939002E-5</v>
      </c>
      <c r="K73" s="73">
        <v>3.6670656302379124E-3</v>
      </c>
      <c r="L73" s="73">
        <v>5.0283248408949694E-4</v>
      </c>
      <c r="M73" s="73">
        <v>6.8525973890649525E-4</v>
      </c>
      <c r="N73" s="73">
        <v>7.5934187284233299E-4</v>
      </c>
      <c r="O73" s="73" t="s">
        <v>132</v>
      </c>
      <c r="P73" s="73">
        <v>4.9004405571882161E-2</v>
      </c>
      <c r="Q73" s="73">
        <v>1.6761082802983186E-3</v>
      </c>
      <c r="R73" s="73">
        <v>8.3342400677816937E-5</v>
      </c>
      <c r="S73" s="87">
        <v>3.4522274414100246E-2</v>
      </c>
      <c r="T73" s="90">
        <v>0.25031612235621481</v>
      </c>
    </row>
    <row r="76" spans="1:20" ht="15" x14ac:dyDescent="0.25">
      <c r="A76" s="109" t="s">
        <v>113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</row>
    <row r="77" spans="1:20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</row>
    <row r="78" spans="1:20" ht="13.5" thickBot="1" x14ac:dyDescent="0.25">
      <c r="A78" s="31" t="s">
        <v>133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</row>
    <row r="79" spans="1:20" ht="39" thickBot="1" x14ac:dyDescent="0.25">
      <c r="A79" s="77" t="s">
        <v>65</v>
      </c>
      <c r="B79" s="76" t="s">
        <v>73</v>
      </c>
      <c r="C79" s="91" t="s">
        <v>74</v>
      </c>
      <c r="D79" s="92" t="s">
        <v>75</v>
      </c>
      <c r="E79" s="68" t="s">
        <v>50</v>
      </c>
      <c r="F79" s="68" t="s">
        <v>51</v>
      </c>
      <c r="G79" s="68" t="s">
        <v>52</v>
      </c>
      <c r="H79" s="68" t="s">
        <v>53</v>
      </c>
      <c r="I79" s="68" t="s">
        <v>63</v>
      </c>
      <c r="J79" s="68" t="s">
        <v>54</v>
      </c>
      <c r="K79" s="68" t="s">
        <v>55</v>
      </c>
      <c r="L79" s="68" t="s">
        <v>56</v>
      </c>
      <c r="M79" s="68" t="s">
        <v>57</v>
      </c>
      <c r="N79" s="68" t="s">
        <v>58</v>
      </c>
      <c r="O79" s="68" t="s">
        <v>59</v>
      </c>
      <c r="P79" s="68" t="s">
        <v>60</v>
      </c>
      <c r="Q79" s="68" t="s">
        <v>61</v>
      </c>
      <c r="R79" s="68" t="s">
        <v>81</v>
      </c>
      <c r="S79" s="83" t="s">
        <v>62</v>
      </c>
      <c r="T79" s="69" t="s">
        <v>0</v>
      </c>
    </row>
    <row r="80" spans="1:20" x14ac:dyDescent="0.2">
      <c r="A80" s="72" t="s">
        <v>67</v>
      </c>
      <c r="B80" s="78" t="s">
        <v>68</v>
      </c>
      <c r="C80" s="93">
        <v>9.2418790971002815E-4</v>
      </c>
      <c r="D80" s="94">
        <v>7.9671371526726596E-5</v>
      </c>
      <c r="E80" s="66">
        <v>1.4340846874810791E-4</v>
      </c>
      <c r="F80" s="66">
        <v>3.3461976041225159E-4</v>
      </c>
      <c r="G80" s="66" t="s">
        <v>132</v>
      </c>
      <c r="H80" s="66" t="s">
        <v>132</v>
      </c>
      <c r="I80" s="66" t="s">
        <v>132</v>
      </c>
      <c r="J80" s="66" t="s">
        <v>132</v>
      </c>
      <c r="K80" s="66" t="s">
        <v>132</v>
      </c>
      <c r="L80" s="66" t="s">
        <v>132</v>
      </c>
      <c r="M80" s="66">
        <v>3.1868548610690602E-5</v>
      </c>
      <c r="N80" s="66" t="s">
        <v>132</v>
      </c>
      <c r="O80" s="66" t="s">
        <v>132</v>
      </c>
      <c r="P80" s="66" t="s">
        <v>132</v>
      </c>
      <c r="Q80" s="66" t="s">
        <v>132</v>
      </c>
      <c r="R80" s="66" t="s">
        <v>132</v>
      </c>
      <c r="S80" s="84">
        <v>1.5934274305345301E-5</v>
      </c>
      <c r="T80" s="88">
        <v>1.5296903333131501E-3</v>
      </c>
    </row>
    <row r="81" spans="1:20" x14ac:dyDescent="0.2">
      <c r="A81" s="71" t="s">
        <v>19</v>
      </c>
      <c r="B81" s="79" t="s">
        <v>68</v>
      </c>
      <c r="C81" s="103">
        <v>2.7088266319087002E-4</v>
      </c>
      <c r="D81" s="104" t="s">
        <v>132</v>
      </c>
      <c r="E81" s="67" t="s">
        <v>132</v>
      </c>
      <c r="F81" s="67" t="s">
        <v>132</v>
      </c>
      <c r="G81" s="67" t="s">
        <v>132</v>
      </c>
      <c r="H81" s="67" t="s">
        <v>132</v>
      </c>
      <c r="I81" s="67" t="s">
        <v>132</v>
      </c>
      <c r="J81" s="67" t="s">
        <v>132</v>
      </c>
      <c r="K81" s="67" t="s">
        <v>132</v>
      </c>
      <c r="L81" s="67" t="s">
        <v>132</v>
      </c>
      <c r="M81" s="67" t="s">
        <v>132</v>
      </c>
      <c r="N81" s="67" t="s">
        <v>132</v>
      </c>
      <c r="O81" s="67" t="s">
        <v>132</v>
      </c>
      <c r="P81" s="67" t="s">
        <v>132</v>
      </c>
      <c r="Q81" s="67" t="s">
        <v>132</v>
      </c>
      <c r="R81" s="67" t="s">
        <v>132</v>
      </c>
      <c r="S81" s="85" t="s">
        <v>132</v>
      </c>
      <c r="T81" s="89">
        <v>2.7088266319087002E-4</v>
      </c>
    </row>
    <row r="82" spans="1:20" x14ac:dyDescent="0.2">
      <c r="A82" s="72" t="s">
        <v>21</v>
      </c>
      <c r="B82" s="78" t="s">
        <v>68</v>
      </c>
      <c r="C82" s="105" t="s">
        <v>132</v>
      </c>
      <c r="D82" s="106" t="s">
        <v>132</v>
      </c>
      <c r="E82" s="66" t="s">
        <v>132</v>
      </c>
      <c r="F82" s="66" t="s">
        <v>132</v>
      </c>
      <c r="G82" s="66" t="s">
        <v>132</v>
      </c>
      <c r="H82" s="66">
        <v>1.5934274305345301E-5</v>
      </c>
      <c r="I82" s="66">
        <v>3.3461976041225202E-4</v>
      </c>
      <c r="J82" s="66" t="s">
        <v>132</v>
      </c>
      <c r="K82" s="66" t="s">
        <v>132</v>
      </c>
      <c r="L82" s="66" t="s">
        <v>132</v>
      </c>
      <c r="M82" s="66" t="s">
        <v>132</v>
      </c>
      <c r="N82" s="66" t="s">
        <v>132</v>
      </c>
      <c r="O82" s="66" t="s">
        <v>132</v>
      </c>
      <c r="P82" s="66" t="s">
        <v>132</v>
      </c>
      <c r="Q82" s="66" t="s">
        <v>132</v>
      </c>
      <c r="R82" s="66" t="s">
        <v>132</v>
      </c>
      <c r="S82" s="84">
        <v>1.91211291664144E-4</v>
      </c>
      <c r="T82" s="88">
        <v>5.4176532638174134E-4</v>
      </c>
    </row>
    <row r="83" spans="1:20" x14ac:dyDescent="0.2">
      <c r="A83" s="71" t="s">
        <v>22</v>
      </c>
      <c r="B83" s="79" t="s">
        <v>68</v>
      </c>
      <c r="C83" s="103" t="s">
        <v>132</v>
      </c>
      <c r="D83" s="104" t="s">
        <v>132</v>
      </c>
      <c r="E83" s="67" t="s">
        <v>132</v>
      </c>
      <c r="F83" s="67" t="s">
        <v>132</v>
      </c>
      <c r="G83" s="67" t="s">
        <v>132</v>
      </c>
      <c r="H83" s="67" t="s">
        <v>132</v>
      </c>
      <c r="I83" s="67" t="s">
        <v>132</v>
      </c>
      <c r="J83" s="67" t="s">
        <v>132</v>
      </c>
      <c r="K83" s="67">
        <v>2.8681693749621598E-4</v>
      </c>
      <c r="L83" s="67" t="s">
        <v>132</v>
      </c>
      <c r="M83" s="67" t="s">
        <v>132</v>
      </c>
      <c r="N83" s="67" t="s">
        <v>132</v>
      </c>
      <c r="O83" s="67" t="s">
        <v>132</v>
      </c>
      <c r="P83" s="67" t="s">
        <v>132</v>
      </c>
      <c r="Q83" s="67" t="s">
        <v>132</v>
      </c>
      <c r="R83" s="67" t="s">
        <v>132</v>
      </c>
      <c r="S83" s="85" t="s">
        <v>132</v>
      </c>
      <c r="T83" s="89">
        <v>2.8681693749621598E-4</v>
      </c>
    </row>
    <row r="84" spans="1:20" x14ac:dyDescent="0.2">
      <c r="A84" s="72" t="s">
        <v>69</v>
      </c>
      <c r="B84" s="78" t="s">
        <v>68</v>
      </c>
      <c r="C84" s="105" t="s">
        <v>132</v>
      </c>
      <c r="D84" s="106" t="s">
        <v>132</v>
      </c>
      <c r="E84" s="66" t="s">
        <v>132</v>
      </c>
      <c r="F84" s="66" t="s">
        <v>132</v>
      </c>
      <c r="G84" s="66" t="s">
        <v>132</v>
      </c>
      <c r="H84" s="66" t="s">
        <v>132</v>
      </c>
      <c r="I84" s="66">
        <v>2.5494838888552498E-4</v>
      </c>
      <c r="J84" s="66" t="s">
        <v>132</v>
      </c>
      <c r="K84" s="66" t="s">
        <v>132</v>
      </c>
      <c r="L84" s="66" t="s">
        <v>132</v>
      </c>
      <c r="M84" s="66" t="s">
        <v>132</v>
      </c>
      <c r="N84" s="66" t="s">
        <v>132</v>
      </c>
      <c r="O84" s="66" t="s">
        <v>132</v>
      </c>
      <c r="P84" s="66" t="s">
        <v>132</v>
      </c>
      <c r="Q84" s="66" t="s">
        <v>132</v>
      </c>
      <c r="R84" s="66" t="s">
        <v>132</v>
      </c>
      <c r="S84" s="84">
        <v>3.1868548610690601E-4</v>
      </c>
      <c r="T84" s="88">
        <v>5.7363387499243098E-4</v>
      </c>
    </row>
    <row r="85" spans="1:20" x14ac:dyDescent="0.2">
      <c r="A85" s="71" t="s">
        <v>77</v>
      </c>
      <c r="B85" s="79" t="s">
        <v>70</v>
      </c>
      <c r="C85" s="103">
        <v>3.1868548610690602E-5</v>
      </c>
      <c r="D85" s="104" t="s">
        <v>132</v>
      </c>
      <c r="E85" s="67" t="s">
        <v>132</v>
      </c>
      <c r="F85" s="67" t="s">
        <v>132</v>
      </c>
      <c r="G85" s="67" t="s">
        <v>132</v>
      </c>
      <c r="H85" s="67" t="s">
        <v>132</v>
      </c>
      <c r="I85" s="67">
        <v>3.1868548610690602E-5</v>
      </c>
      <c r="J85" s="67" t="s">
        <v>132</v>
      </c>
      <c r="K85" s="67">
        <v>1.11539920137417E-4</v>
      </c>
      <c r="L85" s="67">
        <v>3.1868548610690602E-5</v>
      </c>
      <c r="M85" s="67" t="s">
        <v>132</v>
      </c>
      <c r="N85" s="67" t="s">
        <v>132</v>
      </c>
      <c r="O85" s="67" t="s">
        <v>132</v>
      </c>
      <c r="P85" s="67" t="s">
        <v>132</v>
      </c>
      <c r="Q85" s="67" t="s">
        <v>132</v>
      </c>
      <c r="R85" s="67" t="s">
        <v>132</v>
      </c>
      <c r="S85" s="85">
        <v>1.59342743053453E-4</v>
      </c>
      <c r="T85" s="89">
        <v>3.6648830902294178E-4</v>
      </c>
    </row>
    <row r="86" spans="1:20" x14ac:dyDescent="0.2">
      <c r="A86" s="72" t="s">
        <v>28</v>
      </c>
      <c r="B86" s="78" t="s">
        <v>70</v>
      </c>
      <c r="C86" s="105" t="s">
        <v>132</v>
      </c>
      <c r="D86" s="106" t="s">
        <v>132</v>
      </c>
      <c r="E86" s="66" t="s">
        <v>132</v>
      </c>
      <c r="F86" s="66" t="s">
        <v>132</v>
      </c>
      <c r="G86" s="66" t="s">
        <v>132</v>
      </c>
      <c r="H86" s="66" t="s">
        <v>132</v>
      </c>
      <c r="I86" s="66" t="s">
        <v>132</v>
      </c>
      <c r="J86" s="66" t="s">
        <v>132</v>
      </c>
      <c r="K86" s="66" t="s">
        <v>132</v>
      </c>
      <c r="L86" s="66" t="s">
        <v>132</v>
      </c>
      <c r="M86" s="66" t="s">
        <v>132</v>
      </c>
      <c r="N86" s="66" t="s">
        <v>132</v>
      </c>
      <c r="O86" s="66" t="s">
        <v>132</v>
      </c>
      <c r="P86" s="66" t="s">
        <v>132</v>
      </c>
      <c r="Q86" s="66" t="s">
        <v>132</v>
      </c>
      <c r="R86" s="66" t="s">
        <v>132</v>
      </c>
      <c r="S86" s="84" t="s">
        <v>132</v>
      </c>
      <c r="T86" s="88" t="s">
        <v>132</v>
      </c>
    </row>
    <row r="87" spans="1:20" x14ac:dyDescent="0.2">
      <c r="A87" s="71" t="s">
        <v>29</v>
      </c>
      <c r="B87" s="79" t="s">
        <v>70</v>
      </c>
      <c r="C87" s="103" t="s">
        <v>132</v>
      </c>
      <c r="D87" s="104" t="s">
        <v>132</v>
      </c>
      <c r="E87" s="67" t="s">
        <v>132</v>
      </c>
      <c r="F87" s="67" t="s">
        <v>132</v>
      </c>
      <c r="G87" s="67" t="s">
        <v>132</v>
      </c>
      <c r="H87" s="67" t="s">
        <v>132</v>
      </c>
      <c r="I87" s="67" t="s">
        <v>132</v>
      </c>
      <c r="J87" s="67" t="s">
        <v>132</v>
      </c>
      <c r="K87" s="67" t="s">
        <v>132</v>
      </c>
      <c r="L87" s="67" t="s">
        <v>132</v>
      </c>
      <c r="M87" s="67" t="s">
        <v>132</v>
      </c>
      <c r="N87" s="67" t="s">
        <v>132</v>
      </c>
      <c r="O87" s="67" t="s">
        <v>132</v>
      </c>
      <c r="P87" s="67" t="s">
        <v>132</v>
      </c>
      <c r="Q87" s="67" t="s">
        <v>132</v>
      </c>
      <c r="R87" s="67" t="s">
        <v>132</v>
      </c>
      <c r="S87" s="85" t="s">
        <v>132</v>
      </c>
      <c r="T87" s="89" t="s">
        <v>132</v>
      </c>
    </row>
    <row r="88" spans="1:20" x14ac:dyDescent="0.2">
      <c r="A88" s="72" t="s">
        <v>30</v>
      </c>
      <c r="B88" s="78" t="s">
        <v>70</v>
      </c>
      <c r="C88" s="105" t="s">
        <v>132</v>
      </c>
      <c r="D88" s="106" t="s">
        <v>132</v>
      </c>
      <c r="E88" s="66" t="s">
        <v>132</v>
      </c>
      <c r="F88" s="66" t="s">
        <v>132</v>
      </c>
      <c r="G88" s="66" t="s">
        <v>132</v>
      </c>
      <c r="H88" s="66" t="s">
        <v>132</v>
      </c>
      <c r="I88" s="66" t="s">
        <v>132</v>
      </c>
      <c r="J88" s="66" t="s">
        <v>132</v>
      </c>
      <c r="K88" s="66">
        <v>1.91211291664144E-4</v>
      </c>
      <c r="L88" s="66" t="s">
        <v>132</v>
      </c>
      <c r="M88" s="66" t="s">
        <v>132</v>
      </c>
      <c r="N88" s="66" t="s">
        <v>132</v>
      </c>
      <c r="O88" s="66" t="s">
        <v>132</v>
      </c>
      <c r="P88" s="66" t="s">
        <v>132</v>
      </c>
      <c r="Q88" s="66" t="s">
        <v>132</v>
      </c>
      <c r="R88" s="66" t="s">
        <v>132</v>
      </c>
      <c r="S88" s="84">
        <v>4.4615968054966898E-4</v>
      </c>
      <c r="T88" s="88">
        <v>6.3737097221381299E-4</v>
      </c>
    </row>
    <row r="89" spans="1:20" x14ac:dyDescent="0.2">
      <c r="A89" s="71" t="s">
        <v>31</v>
      </c>
      <c r="B89" s="79" t="s">
        <v>70</v>
      </c>
      <c r="C89" s="103" t="s">
        <v>132</v>
      </c>
      <c r="D89" s="104" t="s">
        <v>132</v>
      </c>
      <c r="E89" s="67" t="s">
        <v>132</v>
      </c>
      <c r="F89" s="67" t="s">
        <v>132</v>
      </c>
      <c r="G89" s="67" t="s">
        <v>132</v>
      </c>
      <c r="H89" s="67" t="s">
        <v>132</v>
      </c>
      <c r="I89" s="67" t="s">
        <v>132</v>
      </c>
      <c r="J89" s="67" t="s">
        <v>132</v>
      </c>
      <c r="K89" s="67" t="s">
        <v>132</v>
      </c>
      <c r="L89" s="67" t="s">
        <v>132</v>
      </c>
      <c r="M89" s="67" t="s">
        <v>132</v>
      </c>
      <c r="N89" s="67" t="s">
        <v>132</v>
      </c>
      <c r="O89" s="67" t="s">
        <v>132</v>
      </c>
      <c r="P89" s="67" t="s">
        <v>132</v>
      </c>
      <c r="Q89" s="67" t="s">
        <v>132</v>
      </c>
      <c r="R89" s="67" t="s">
        <v>132</v>
      </c>
      <c r="S89" s="85" t="s">
        <v>132</v>
      </c>
      <c r="T89" s="89" t="s">
        <v>132</v>
      </c>
    </row>
    <row r="90" spans="1:20" x14ac:dyDescent="0.2">
      <c r="A90" s="72" t="s">
        <v>20</v>
      </c>
      <c r="B90" s="78" t="s">
        <v>70</v>
      </c>
      <c r="C90" s="105" t="s">
        <v>132</v>
      </c>
      <c r="D90" s="106" t="s">
        <v>132</v>
      </c>
      <c r="E90" s="66" t="s">
        <v>132</v>
      </c>
      <c r="F90" s="66" t="s">
        <v>132</v>
      </c>
      <c r="G90" s="66" t="s">
        <v>132</v>
      </c>
      <c r="H90" s="66" t="s">
        <v>132</v>
      </c>
      <c r="I90" s="66" t="s">
        <v>132</v>
      </c>
      <c r="J90" s="66" t="s">
        <v>132</v>
      </c>
      <c r="K90" s="66" t="s">
        <v>132</v>
      </c>
      <c r="L90" s="66" t="s">
        <v>132</v>
      </c>
      <c r="M90" s="66" t="s">
        <v>132</v>
      </c>
      <c r="N90" s="66" t="s">
        <v>132</v>
      </c>
      <c r="O90" s="66" t="s">
        <v>132</v>
      </c>
      <c r="P90" s="66" t="s">
        <v>132</v>
      </c>
      <c r="Q90" s="66" t="s">
        <v>132</v>
      </c>
      <c r="R90" s="66" t="s">
        <v>132</v>
      </c>
      <c r="S90" s="84" t="s">
        <v>132</v>
      </c>
      <c r="T90" s="88" t="s">
        <v>132</v>
      </c>
    </row>
    <row r="91" spans="1:20" x14ac:dyDescent="0.2">
      <c r="A91" s="71" t="s">
        <v>32</v>
      </c>
      <c r="B91" s="79" t="s">
        <v>70</v>
      </c>
      <c r="C91" s="103" t="s">
        <v>132</v>
      </c>
      <c r="D91" s="104" t="s">
        <v>132</v>
      </c>
      <c r="E91" s="67" t="s">
        <v>132</v>
      </c>
      <c r="F91" s="67">
        <v>1.5934274305345301E-5</v>
      </c>
      <c r="G91" s="67" t="s">
        <v>132</v>
      </c>
      <c r="H91" s="67" t="s">
        <v>132</v>
      </c>
      <c r="I91" s="67">
        <v>3.1868548610690602E-5</v>
      </c>
      <c r="J91" s="67" t="s">
        <v>132</v>
      </c>
      <c r="K91" s="67" t="s">
        <v>132</v>
      </c>
      <c r="L91" s="67" t="s">
        <v>132</v>
      </c>
      <c r="M91" s="67" t="s">
        <v>132</v>
      </c>
      <c r="N91" s="67" t="s">
        <v>132</v>
      </c>
      <c r="O91" s="67" t="s">
        <v>132</v>
      </c>
      <c r="P91" s="67" t="s">
        <v>132</v>
      </c>
      <c r="Q91" s="67" t="s">
        <v>132</v>
      </c>
      <c r="R91" s="67" t="s">
        <v>132</v>
      </c>
      <c r="S91" s="85">
        <v>3.0593806666263002E-3</v>
      </c>
      <c r="T91" s="89">
        <v>3.1071834895423363E-3</v>
      </c>
    </row>
    <row r="92" spans="1:20" x14ac:dyDescent="0.2">
      <c r="A92" s="72" t="s">
        <v>23</v>
      </c>
      <c r="B92" s="78" t="s">
        <v>71</v>
      </c>
      <c r="C92" s="105" t="s">
        <v>132</v>
      </c>
      <c r="D92" s="106" t="s">
        <v>132</v>
      </c>
      <c r="E92" s="66" t="s">
        <v>132</v>
      </c>
      <c r="F92" s="66" t="s">
        <v>132</v>
      </c>
      <c r="G92" s="66" t="s">
        <v>132</v>
      </c>
      <c r="H92" s="66" t="s">
        <v>132</v>
      </c>
      <c r="I92" s="66" t="s">
        <v>132</v>
      </c>
      <c r="J92" s="66" t="s">
        <v>132</v>
      </c>
      <c r="K92" s="66" t="s">
        <v>132</v>
      </c>
      <c r="L92" s="66">
        <v>1.05166210415279E-3</v>
      </c>
      <c r="M92" s="66" t="s">
        <v>132</v>
      </c>
      <c r="N92" s="66" t="s">
        <v>132</v>
      </c>
      <c r="O92" s="66" t="s">
        <v>132</v>
      </c>
      <c r="P92" s="66" t="s">
        <v>132</v>
      </c>
      <c r="Q92" s="66" t="s">
        <v>132</v>
      </c>
      <c r="R92" s="66" t="s">
        <v>132</v>
      </c>
      <c r="S92" s="84" t="s">
        <v>132</v>
      </c>
      <c r="T92" s="88">
        <v>1.05166210415279E-3</v>
      </c>
    </row>
    <row r="93" spans="1:20" x14ac:dyDescent="0.2">
      <c r="A93" s="71" t="s">
        <v>24</v>
      </c>
      <c r="B93" s="79" t="s">
        <v>72</v>
      </c>
      <c r="C93" s="103" t="s">
        <v>132</v>
      </c>
      <c r="D93" s="104" t="s">
        <v>132</v>
      </c>
      <c r="E93" s="67" t="s">
        <v>132</v>
      </c>
      <c r="F93" s="67" t="s">
        <v>132</v>
      </c>
      <c r="G93" s="67" t="s">
        <v>132</v>
      </c>
      <c r="H93" s="67" t="s">
        <v>132</v>
      </c>
      <c r="I93" s="67" t="s">
        <v>132</v>
      </c>
      <c r="J93" s="67" t="s">
        <v>132</v>
      </c>
      <c r="K93" s="67" t="s">
        <v>132</v>
      </c>
      <c r="L93" s="67" t="s">
        <v>132</v>
      </c>
      <c r="M93" s="67" t="s">
        <v>132</v>
      </c>
      <c r="N93" s="67" t="s">
        <v>132</v>
      </c>
      <c r="O93" s="67" t="s">
        <v>132</v>
      </c>
      <c r="P93" s="67">
        <v>1.1950705729009E-3</v>
      </c>
      <c r="Q93" s="67" t="s">
        <v>132</v>
      </c>
      <c r="R93" s="67" t="s">
        <v>132</v>
      </c>
      <c r="S93" s="85" t="s">
        <v>132</v>
      </c>
      <c r="T93" s="89">
        <v>1.1950705729009E-3</v>
      </c>
    </row>
    <row r="94" spans="1:20" x14ac:dyDescent="0.2">
      <c r="A94" s="72" t="s">
        <v>25</v>
      </c>
      <c r="B94" s="78" t="s">
        <v>72</v>
      </c>
      <c r="C94" s="105" t="s">
        <v>132</v>
      </c>
      <c r="D94" s="106" t="s">
        <v>132</v>
      </c>
      <c r="E94" s="66" t="s">
        <v>132</v>
      </c>
      <c r="F94" s="66" t="s">
        <v>132</v>
      </c>
      <c r="G94" s="66" t="s">
        <v>132</v>
      </c>
      <c r="H94" s="66" t="s">
        <v>132</v>
      </c>
      <c r="I94" s="66" t="s">
        <v>132</v>
      </c>
      <c r="J94" s="66" t="s">
        <v>132</v>
      </c>
      <c r="K94" s="66" t="s">
        <v>132</v>
      </c>
      <c r="L94" s="66" t="s">
        <v>132</v>
      </c>
      <c r="M94" s="66" t="s">
        <v>132</v>
      </c>
      <c r="N94" s="66" t="s">
        <v>132</v>
      </c>
      <c r="O94" s="66" t="s">
        <v>132</v>
      </c>
      <c r="P94" s="66">
        <v>1.24191733935861E-2</v>
      </c>
      <c r="Q94" s="66" t="s">
        <v>132</v>
      </c>
      <c r="R94" s="66" t="s">
        <v>132</v>
      </c>
      <c r="S94" s="84" t="s">
        <v>132</v>
      </c>
      <c r="T94" s="88">
        <v>1.24191733935861E-2</v>
      </c>
    </row>
    <row r="95" spans="1:20" x14ac:dyDescent="0.2">
      <c r="A95" s="71" t="s">
        <v>78</v>
      </c>
      <c r="B95" s="79" t="s">
        <v>72</v>
      </c>
      <c r="C95" s="103" t="s">
        <v>132</v>
      </c>
      <c r="D95" s="104" t="s">
        <v>132</v>
      </c>
      <c r="E95" s="67" t="s">
        <v>132</v>
      </c>
      <c r="F95" s="67" t="s">
        <v>132</v>
      </c>
      <c r="G95" s="67" t="s">
        <v>132</v>
      </c>
      <c r="H95" s="67" t="s">
        <v>132</v>
      </c>
      <c r="I95" s="67" t="s">
        <v>132</v>
      </c>
      <c r="J95" s="67" t="s">
        <v>132</v>
      </c>
      <c r="K95" s="67" t="s">
        <v>132</v>
      </c>
      <c r="L95" s="67" t="s">
        <v>132</v>
      </c>
      <c r="M95" s="67" t="s">
        <v>132</v>
      </c>
      <c r="N95" s="67" t="s">
        <v>132</v>
      </c>
      <c r="O95" s="67" t="s">
        <v>132</v>
      </c>
      <c r="P95" s="67" t="s">
        <v>132</v>
      </c>
      <c r="Q95" s="67" t="s">
        <v>132</v>
      </c>
      <c r="R95" s="67" t="s">
        <v>132</v>
      </c>
      <c r="S95" s="85" t="s">
        <v>132</v>
      </c>
      <c r="T95" s="89" t="s">
        <v>132</v>
      </c>
    </row>
    <row r="96" spans="1:20" x14ac:dyDescent="0.2">
      <c r="A96" s="72" t="s">
        <v>26</v>
      </c>
      <c r="B96" s="78" t="s">
        <v>72</v>
      </c>
      <c r="C96" s="105" t="s">
        <v>132</v>
      </c>
      <c r="D96" s="106" t="s">
        <v>132</v>
      </c>
      <c r="E96" s="66" t="s">
        <v>132</v>
      </c>
      <c r="F96" s="66" t="s">
        <v>132</v>
      </c>
      <c r="G96" s="66" t="s">
        <v>132</v>
      </c>
      <c r="H96" s="66" t="s">
        <v>132</v>
      </c>
      <c r="I96" s="66" t="s">
        <v>132</v>
      </c>
      <c r="J96" s="66" t="s">
        <v>132</v>
      </c>
      <c r="K96" s="66" t="s">
        <v>132</v>
      </c>
      <c r="L96" s="66" t="s">
        <v>132</v>
      </c>
      <c r="M96" s="66" t="s">
        <v>132</v>
      </c>
      <c r="N96" s="66" t="s">
        <v>132</v>
      </c>
      <c r="O96" s="66" t="s">
        <v>132</v>
      </c>
      <c r="P96" s="66">
        <v>1.4659532360917699E-3</v>
      </c>
      <c r="Q96" s="66" t="s">
        <v>132</v>
      </c>
      <c r="R96" s="66" t="s">
        <v>132</v>
      </c>
      <c r="S96" s="84" t="s">
        <v>132</v>
      </c>
      <c r="T96" s="88">
        <v>1.4659532360917699E-3</v>
      </c>
    </row>
    <row r="97" spans="1:20" ht="13.5" thickBot="1" x14ac:dyDescent="0.25">
      <c r="A97" s="82" t="s">
        <v>27</v>
      </c>
      <c r="B97" s="81" t="s">
        <v>72</v>
      </c>
      <c r="C97" s="107" t="s">
        <v>132</v>
      </c>
      <c r="D97" s="108" t="s">
        <v>132</v>
      </c>
      <c r="E97" s="74" t="s">
        <v>132</v>
      </c>
      <c r="F97" s="74" t="s">
        <v>132</v>
      </c>
      <c r="G97" s="74" t="s">
        <v>132</v>
      </c>
      <c r="H97" s="74" t="s">
        <v>132</v>
      </c>
      <c r="I97" s="74" t="s">
        <v>132</v>
      </c>
      <c r="J97" s="74" t="s">
        <v>132</v>
      </c>
      <c r="K97" s="74" t="s">
        <v>132</v>
      </c>
      <c r="L97" s="74" t="s">
        <v>132</v>
      </c>
      <c r="M97" s="74" t="s">
        <v>132</v>
      </c>
      <c r="N97" s="74" t="s">
        <v>132</v>
      </c>
      <c r="O97" s="74" t="s">
        <v>132</v>
      </c>
      <c r="P97" s="74" t="s">
        <v>132</v>
      </c>
      <c r="Q97" s="74">
        <v>1.65716452775591E-3</v>
      </c>
      <c r="R97" s="74" t="s">
        <v>132</v>
      </c>
      <c r="S97" s="86" t="s">
        <v>132</v>
      </c>
      <c r="T97" s="75">
        <v>1.65716452775591E-3</v>
      </c>
    </row>
    <row r="98" spans="1:20" ht="14.25" thickTop="1" thickBot="1" x14ac:dyDescent="0.25">
      <c r="A98" s="70" t="s">
        <v>0</v>
      </c>
      <c r="B98" s="80"/>
      <c r="C98" s="101">
        <v>1.3066104930383154E-3</v>
      </c>
      <c r="D98" s="102" t="s">
        <v>132</v>
      </c>
      <c r="E98" s="73">
        <v>1.4340846874810791E-4</v>
      </c>
      <c r="F98" s="73">
        <v>3.505540347175969E-4</v>
      </c>
      <c r="G98" s="73" t="s">
        <v>132</v>
      </c>
      <c r="H98" s="73">
        <v>1.5934274305345301E-5</v>
      </c>
      <c r="I98" s="73">
        <v>6.5330524651915824E-4</v>
      </c>
      <c r="J98" s="73" t="s">
        <v>132</v>
      </c>
      <c r="K98" s="73">
        <v>5.89568149297777E-4</v>
      </c>
      <c r="L98" s="73">
        <v>1.0835306527634805E-3</v>
      </c>
      <c r="M98" s="73">
        <v>3.1868548610690602E-5</v>
      </c>
      <c r="N98" s="73" t="s">
        <v>132</v>
      </c>
      <c r="O98" s="73" t="s">
        <v>132</v>
      </c>
      <c r="P98" s="73">
        <v>1.508019720257877E-2</v>
      </c>
      <c r="Q98" s="73">
        <v>1.65716452775591E-3</v>
      </c>
      <c r="R98" s="73" t="s">
        <v>132</v>
      </c>
      <c r="S98" s="87">
        <v>4.1907141423058172E-3</v>
      </c>
      <c r="T98" s="90">
        <v>2.5102855740640972E-2</v>
      </c>
    </row>
  </sheetData>
  <mergeCells count="76">
    <mergeCell ref="A1:T1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6:T26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A51:T51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A76:T76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8:D98"/>
    <mergeCell ref="C93:D93"/>
    <mergeCell ref="C94:D94"/>
    <mergeCell ref="C95:D95"/>
    <mergeCell ref="C96:D96"/>
    <mergeCell ref="C97:D97"/>
  </mergeCells>
  <conditionalFormatting sqref="C5:T23">
    <cfRule type="cellIs" dxfId="9" priority="1" operator="greaterThan">
      <formula>0</formula>
    </cfRule>
  </conditionalFormatting>
  <conditionalFormatting sqref="T23">
    <cfRule type="cellIs" dxfId="8" priority="2" operator="notBetween">
      <formula>#REF!-0.000000001</formula>
      <formula>#REF!+0.000000001</formula>
    </cfRule>
  </conditionalFormatting>
  <printOptions horizontalCentered="1"/>
  <pageMargins left="0.2" right="0.2" top="0.25" bottom="0.5" header="0.3" footer="0.3"/>
  <pageSetup paperSize="5" scale="71" orientation="landscape" r:id="rId1"/>
  <headerFooter>
    <oddFooter>&amp;L&amp;F&amp;C&amp;A&amp;R&amp;D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City_BottleCanCartonSubsort</vt:lpstr>
      <vt:lpstr>City_ResinSubsort</vt:lpstr>
      <vt:lpstr>BX_BottleCanCartonSubsort</vt:lpstr>
      <vt:lpstr>BX_ResinSubsort</vt:lpstr>
      <vt:lpstr>BK_BottleCanCartonSubsort</vt:lpstr>
      <vt:lpstr>BK_ResinSubsort</vt:lpstr>
      <vt:lpstr>MN_BottleCanCartonSubsort</vt:lpstr>
      <vt:lpstr>MN_ResinSubsort</vt:lpstr>
      <vt:lpstr>QN_BottleCanCartonSubsort</vt:lpstr>
      <vt:lpstr>QN_ResinSubsort</vt:lpstr>
      <vt:lpstr>SI_BottleCanCartonSubsort</vt:lpstr>
      <vt:lpstr>SI_ResinSubsort</vt:lpstr>
    </vt:vector>
  </TitlesOfParts>
  <Company>Cascadia Consulting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</dc:creator>
  <cp:lastModifiedBy>DSNY</cp:lastModifiedBy>
  <cp:lastPrinted>2013-10-04T16:19:19Z</cp:lastPrinted>
  <dcterms:created xsi:type="dcterms:W3CDTF">2005-10-17T17:38:51Z</dcterms:created>
  <dcterms:modified xsi:type="dcterms:W3CDTF">2017-12-12T16:02:05Z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1jhWcUBY3tp9X1UeIx4piMeLifmX76ClpJrZN_FT9LU4</vt:lpwstr>
  </property>
  <property fmtid="{D5CDD505-2E9C-101B-9397-08002B2CF9AE}" pid="4" name="Google.Documents.RevisionId">
    <vt:lpwstr>08258104899233113101</vt:lpwstr>
  </property>
  <property fmtid="{D5CDD505-2E9C-101B-9397-08002B2CF9AE}" pid="5" name="Google.Documents.PluginVersion">
    <vt:lpwstr>2.0.2026.3768</vt:lpwstr>
  </property>
  <property fmtid="{D5CDD505-2E9C-101B-9397-08002B2CF9AE}" pid="6" name="Google.Documents.MergeIncapabilityFlags">
    <vt:i4>0</vt:i4>
  </property>
</Properties>
</file>