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anandp\Desktop\anju\"/>
    </mc:Choice>
  </mc:AlternateContent>
  <xr:revisionPtr revIDLastSave="0" documentId="8_{0ADBB4CF-6810-47DD-BEE3-B42F9787D8C5}" xr6:coauthVersionLast="47" xr6:coauthVersionMax="47" xr10:uidLastSave="{00000000-0000-0000-0000-000000000000}"/>
  <bookViews>
    <workbookView xWindow="-98" yWindow="-98" windowWidth="20715" windowHeight="13155" tabRatio="798" xr2:uid="{00000000-000D-0000-FFFF-FFFF00000000}"/>
  </bookViews>
  <sheets>
    <sheet name="Instructions" sheetId="13" r:id="rId1"/>
    <sheet name="Sources and Use" sheetId="2" r:id="rId2"/>
    <sheet name="Devel. Bud" sheetId="5" r:id="rId3"/>
    <sheet name="Cons Int &amp; Neg Arb" sheetId="6" r:id="rId4"/>
    <sheet name="Units &amp; Income" sheetId="1" r:id="rId5"/>
    <sheet name="M and O" sheetId="3" r:id="rId6"/>
    <sheet name="Mort" sheetId="4" r:id="rId7"/>
    <sheet name="Cash Flow" sheetId="8" r:id="rId8"/>
    <sheet name="Tax Credit " sheetId="9" r:id="rId9"/>
    <sheet name="Trade Pmt" sheetId="10" r:id="rId10"/>
    <sheet name="Pro Forma Summary" sheetId="14" state="hidden" r:id="rId11"/>
    <sheet name="Fl Area Summary" sheetId="11" r:id="rId12"/>
    <sheet name="AMI &amp; Rent" sheetId="16" r:id="rId13"/>
    <sheet name="Expanded UA Table" sheetId="17" r:id="rId14"/>
    <sheet name="Project Summary" sheetId="12"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s>
  <definedNames>
    <definedName name="_Fill" localSheetId="12" hidden="1">#REF!</definedName>
    <definedName name="_Fill" hidden="1">#REF!</definedName>
    <definedName name="Average_Size_of_Units">'[1]Cred Memo'!$H$181:$N$182</definedName>
    <definedName name="Balloon_on_HDC_Second_Mortgage">'[1]Cred Memo'!$B$146:$F$152</definedName>
    <definedName name="BLDGRESERVE" localSheetId="3">'[2]M and O'!#REF!</definedName>
    <definedName name="BLDGRESERVE">'M and O'!#REF!</definedName>
    <definedName name="CONCOST" localSheetId="7">#REF!</definedName>
    <definedName name="CONCOST">'Devel. Bud'!#REF!</definedName>
    <definedName name="conint">'[3]Devel. Bud'!#REF!</definedName>
    <definedName name="CONSTINTEREST" localSheetId="7">#REF!</definedName>
    <definedName name="CONSTINTEREST" localSheetId="3">'[2]Devel. Bud (2)'!#REF!</definedName>
    <definedName name="CONSTINTEREST">'Devel. Bud'!#REF!</definedName>
    <definedName name="Construction_Period__Sources_of_Funds">'[1]Cred Memo'!$B$108:$E$122</definedName>
    <definedName name="Development_Costs">'[1]Cred Memo'!$B$82:$F$103</definedName>
    <definedName name="Development_Team">'[1]Cred Memo'!$B$57:$G$61</definedName>
    <definedName name="DEVFEE" localSheetId="7">#REF!</definedName>
    <definedName name="DEVFEE">'Devel. Bud'!$D$101</definedName>
    <definedName name="EQUITY" localSheetId="7">#REF!</definedName>
    <definedName name="EQUITY">'Devel. Bud'!$D$102</definedName>
    <definedName name="ERI" localSheetId="7">[4]Mort!$D$13</definedName>
    <definedName name="ERI">Mort!#REF!</definedName>
    <definedName name="Expenses">'M and O'!$C$43</definedName>
    <definedName name="Financing_Information">'[1]Cred Memo'!$B$66:$G$75</definedName>
    <definedName name="FIRST">Mort!$H$30</definedName>
    <definedName name="GRR" localSheetId="7">'[4]Unit Distrib.'!#REF!</definedName>
    <definedName name="GRR">'Units &amp; Income'!#REF!</definedName>
    <definedName name="HDCDSC" localSheetId="7">[5]Income!$D$24</definedName>
    <definedName name="HDCDSC">[5]Income!$D$24</definedName>
    <definedName name="I_A">#REF!</definedName>
    <definedName name="LAUNDRY">'Units &amp; Income'!$E$39</definedName>
    <definedName name="Location_Information">'[1]Cred Memo'!$B$49:$G$53</definedName>
    <definedName name="NOI">Mort!$D$31</definedName>
    <definedName name="Operating_Budget">'[1]Cred Memo'!$B$225:$G$243</definedName>
    <definedName name="Permanent_Sources_of_Funds">'[1]Cred Memo'!$B$130:$G$144</definedName>
    <definedName name="_xlnm.Print_Area" localSheetId="12">'AMI &amp; Rent'!$A$1:$P$116</definedName>
    <definedName name="_xlnm.Print_Area" localSheetId="3">'Cons Int &amp; Neg Arb'!$A$1:$F$76</definedName>
    <definedName name="_xlnm.Print_Area" localSheetId="2">'Devel. Bud'!$A$1:$F$101</definedName>
    <definedName name="_xlnm.Print_Area" localSheetId="5">'M and O'!$A$1:$E$51</definedName>
    <definedName name="_xlnm.Print_Area" localSheetId="6">Mort!$A$1:$L$43</definedName>
    <definedName name="_xlnm.Print_Area" localSheetId="14">'Project Summary'!$A$1:$I$53</definedName>
    <definedName name="_xlnm.Print_Area" localSheetId="1">'Sources and Use'!$A$1:$D$39</definedName>
    <definedName name="_xlnm.Print_Area" localSheetId="8">'Tax Credit '!$A$1:$H$76</definedName>
    <definedName name="_xlnm.Print_Area" localSheetId="4">'Units &amp; Income'!$A$1:$K$119</definedName>
    <definedName name="_xlnm.Print_Titles" localSheetId="7">'Cash Flow'!$A:$B</definedName>
    <definedName name="Project_Summary">'[1]Cred Memo'!$B$2:$G$10</definedName>
    <definedName name="ProjectType" localSheetId="12">[6]Sheet1!$A$1:$A$2</definedName>
    <definedName name="ProjectType" localSheetId="13">[6]Sheet1!$A$1:$A$2</definedName>
    <definedName name="ProjectType">[7]Sheet1!$A$1:$A$2</definedName>
    <definedName name="RENT1">#REF!</definedName>
    <definedName name="Res_DUs">[8]Data!$M$75</definedName>
    <definedName name="Residential_Data">'[1]Cred Memo'!$H$188:$L$206</definedName>
    <definedName name="ROOMS">'Units &amp; Income'!$E$21</definedName>
    <definedName name="SECOND">Mort!$I$30</definedName>
    <definedName name="Second_Mortgage">Mort!$I$22</definedName>
    <definedName name="solver_adj" localSheetId="12" hidden="1">'AMI &amp; Rent'!#REF!</definedName>
    <definedName name="solver_cvg" localSheetId="12" hidden="1">0.0001</definedName>
    <definedName name="solver_drv" localSheetId="12" hidden="1">1</definedName>
    <definedName name="solver_est" localSheetId="12" hidden="1">1</definedName>
    <definedName name="solver_itr" localSheetId="12" hidden="1">100</definedName>
    <definedName name="solver_lin" localSheetId="12" hidden="1">2</definedName>
    <definedName name="solver_neg" localSheetId="12" hidden="1">2</definedName>
    <definedName name="solver_num" localSheetId="12" hidden="1">0</definedName>
    <definedName name="solver_nwt" localSheetId="12" hidden="1">1</definedName>
    <definedName name="solver_opt" localSheetId="12" hidden="1">'AMI &amp; Rent'!#REF!</definedName>
    <definedName name="solver_pre" localSheetId="12" hidden="1">0.000001</definedName>
    <definedName name="solver_scl" localSheetId="12" hidden="1">2</definedName>
    <definedName name="solver_sho" localSheetId="12" hidden="1">2</definedName>
    <definedName name="solver_tim" localSheetId="12" hidden="1">100</definedName>
    <definedName name="solver_tol" localSheetId="12" hidden="1">0.05</definedName>
    <definedName name="solver_typ" localSheetId="12" hidden="1">3</definedName>
    <definedName name="solver_val" localSheetId="12" hidden="1">21520</definedName>
    <definedName name="Square_Footage">'[1]Cred Memo'!$B$15:$D$26</definedName>
    <definedName name="TCAW">#REF!</definedName>
    <definedName name="TOTALLOAN">Mort!$L$30</definedName>
    <definedName name="Unit_Breakdown_by_Rent_Level">'[1]Cred Memo'!$B$30:$D$46</definedName>
    <definedName name="Unit_Distribution_by_Monthly_Rent">'[1]Cred Memo'!$H$169:$O$176</definedName>
    <definedName name="Unit_Distribution_by_Rent_Level">'[1]Cred Memo'!$H$156:$N$163</definedName>
    <definedName name="UNITS">'Units &amp; Income'!$C$21</definedName>
    <definedName name="Z_1ECE83C7_A3CE_4F97_BFD3_498FF783C0D9_.wvu.Cols" localSheetId="5" hidden="1">'M and O'!#REF!</definedName>
    <definedName name="Z_1ECE83C7_A3CE_4F97_BFD3_498FF783C0D9_.wvu.PrintArea" localSheetId="3" hidden="1">'Cons Int &amp; Neg Arb'!$A$1:$F$70</definedName>
    <definedName name="Z_1ECE83C7_A3CE_4F97_BFD3_498FF783C0D9_.wvu.PrintArea" localSheetId="2" hidden="1">'Devel. Bud'!$A$1:$H$106</definedName>
    <definedName name="Z_1ECE83C7_A3CE_4F97_BFD3_498FF783C0D9_.wvu.PrintArea" localSheetId="5" hidden="1">'M and O'!$A$1:$E$54</definedName>
    <definedName name="Z_1ECE83C7_A3CE_4F97_BFD3_498FF783C0D9_.wvu.PrintArea" localSheetId="6" hidden="1">Mort!$A$1:$L$43</definedName>
    <definedName name="Z_1ECE83C7_A3CE_4F97_BFD3_498FF783C0D9_.wvu.PrintArea" localSheetId="1" hidden="1">'Sources and Use'!$A$1:$D$42</definedName>
    <definedName name="Z_1ECE83C7_A3CE_4F97_BFD3_498FF783C0D9_.wvu.PrintArea" localSheetId="4" hidden="1">'Units &amp; Income'!$B$1:$F$44</definedName>
    <definedName name="Z_25C4E7E7_1006_4A2D_BC83_AEE4ADF8A914_.wvu.Cols" localSheetId="5" hidden="1">'M and O'!#REF!</definedName>
    <definedName name="Z_25C4E7E7_1006_4A2D_BC83_AEE4ADF8A914_.wvu.PrintArea" localSheetId="3" hidden="1">'Cons Int &amp; Neg Arb'!$A$1:$F$70</definedName>
    <definedName name="Z_25C4E7E7_1006_4A2D_BC83_AEE4ADF8A914_.wvu.PrintArea" localSheetId="2" hidden="1">'Devel. Bud'!$A$1:$H$106</definedName>
    <definedName name="Z_25C4E7E7_1006_4A2D_BC83_AEE4ADF8A914_.wvu.PrintArea" localSheetId="5" hidden="1">'M and O'!$A$1:$E$54</definedName>
    <definedName name="Z_25C4E7E7_1006_4A2D_BC83_AEE4ADF8A914_.wvu.PrintArea" localSheetId="6" hidden="1">Mort!$A$1:$L$43</definedName>
    <definedName name="Z_25C4E7E7_1006_4A2D_BC83_AEE4ADF8A914_.wvu.PrintArea" localSheetId="1" hidden="1">'Sources and Use'!$A$1:$D$42</definedName>
    <definedName name="Z_25C4E7E7_1006_4A2D_BC83_AEE4ADF8A914_.wvu.PrintArea" localSheetId="4" hidden="1">'Units &amp; Income'!$B$1:$F$44</definedName>
    <definedName name="Z_25C4E7E7_1006_4A2D_BC83_AEE4ADF8A914_.wvu.Rows" localSheetId="3" hidden="1">'Cons Int &amp; Neg Arb'!$26:$29,'Cons Int &amp; Neg Arb'!$45:$51</definedName>
    <definedName name="Z_25C4E7E7_1006_4A2D_BC83_AEE4ADF8A914_.wvu.Rows" localSheetId="2" hidden="1">'Devel. Bud'!$99:$99</definedName>
    <definedName name="Z_25C4E7E7_1006_4A2D_BC83_AEE4ADF8A914_.wvu.Rows" localSheetId="5" hidden="1">'M and O'!$40:$40</definedName>
    <definedName name="Z_25C4E7E7_1006_4A2D_BC83_AEE4ADF8A914_.wvu.Rows" localSheetId="1" hidden="1">'Sources and Use'!#REF!</definedName>
    <definedName name="Z_28F81D13_D146_4D67_8981_BA5D7A496326_.wvu.Cols" localSheetId="5" hidden="1">'M and O'!#REF!</definedName>
    <definedName name="Z_28F81D13_D146_4D67_8981_BA5D7A496326_.wvu.PrintArea" localSheetId="3" hidden="1">'Cons Int &amp; Neg Arb'!$A$1:$I$67</definedName>
    <definedName name="Z_28F81D13_D146_4D67_8981_BA5D7A496326_.wvu.PrintArea" localSheetId="2" hidden="1">'Devel. Bud'!$A$1:$F$105</definedName>
    <definedName name="Z_28F81D13_D146_4D67_8981_BA5D7A496326_.wvu.PrintArea" localSheetId="5" hidden="1">'M and O'!$A$1:$E$53</definedName>
    <definedName name="Z_28F81D13_D146_4D67_8981_BA5D7A496326_.wvu.PrintArea" localSheetId="6" hidden="1">Mort!$A$1:$L$50</definedName>
    <definedName name="Z_28F81D13_D146_4D67_8981_BA5D7A496326_.wvu.PrintArea" localSheetId="1" hidden="1">'Sources and Use'!$A$1:$C$42</definedName>
    <definedName name="Z_28F81D13_D146_4D67_8981_BA5D7A496326_.wvu.PrintArea" localSheetId="4" hidden="1">'Units &amp; Income'!$B$1:$F$44</definedName>
    <definedName name="Z_28F81D13_D146_4D67_8981_BA5D7A496326_.wvu.Rows" localSheetId="3" hidden="1">'Cons Int &amp; Neg Arb'!$54:$54</definedName>
    <definedName name="Z_560D4AFA_61E5_46C3_B0CD_D0EB3053A033_.wvu.Cols" localSheetId="5" hidden="1">'M and O'!#REF!</definedName>
    <definedName name="Z_560D4AFA_61E5_46C3_B0CD_D0EB3053A033_.wvu.PrintArea" localSheetId="3" hidden="1">'Cons Int &amp; Neg Arb'!$A$1:$F$70</definedName>
    <definedName name="Z_560D4AFA_61E5_46C3_B0CD_D0EB3053A033_.wvu.PrintArea" localSheetId="2" hidden="1">'Devel. Bud'!$A$1:$H$106</definedName>
    <definedName name="Z_560D4AFA_61E5_46C3_B0CD_D0EB3053A033_.wvu.PrintArea" localSheetId="5" hidden="1">'M and O'!$A$1:$E$54</definedName>
    <definedName name="Z_560D4AFA_61E5_46C3_B0CD_D0EB3053A033_.wvu.PrintArea" localSheetId="6" hidden="1">Mort!$A$1:$L$43</definedName>
    <definedName name="Z_560D4AFA_61E5_46C3_B0CD_D0EB3053A033_.wvu.PrintArea" localSheetId="1" hidden="1">'Sources and Use'!$A$1:$D$42</definedName>
    <definedName name="Z_560D4AFA_61E5_46C3_B0CD_D0EB3053A033_.wvu.PrintArea" localSheetId="4" hidden="1">'Units &amp; Income'!$B$1:$F$44</definedName>
    <definedName name="Z_560D4AFA_61E5_46C3_B0CD_D0EB3053A033_.wvu.Rows" localSheetId="3" hidden="1">'Cons Int &amp; Neg Arb'!$26:$29,'Cons Int &amp; Neg Arb'!$45:$51</definedName>
    <definedName name="Z_560D4AFA_61E5_46C3_B0CD_D0EB3053A033_.wvu.Rows" localSheetId="2" hidden="1">'Devel. Bud'!$99:$99</definedName>
    <definedName name="Z_560D4AFA_61E5_46C3_B0CD_D0EB3053A033_.wvu.Rows" localSheetId="5" hidden="1">'M and O'!$40:$40</definedName>
    <definedName name="Z_560D4AFA_61E5_46C3_B0CD_D0EB3053A033_.wvu.Rows" localSheetId="1" hidden="1">'Sources and Use'!#REF!</definedName>
    <definedName name="Z_6EF643BE_69F3_424E_8A44_3890161370D4_.wvu.Cols" localSheetId="5" hidden="1">'M and O'!#REF!</definedName>
    <definedName name="Z_6EF643BE_69F3_424E_8A44_3890161370D4_.wvu.PrintArea" localSheetId="3" hidden="1">'Cons Int &amp; Neg Arb'!$A$1:$I$67</definedName>
    <definedName name="Z_6EF643BE_69F3_424E_8A44_3890161370D4_.wvu.PrintArea" localSheetId="2" hidden="1">'Devel. Bud'!$A$1:$F$90</definedName>
    <definedName name="Z_6EF643BE_69F3_424E_8A44_3890161370D4_.wvu.PrintArea" localSheetId="5" hidden="1">'M and O'!$A$1:$E$53</definedName>
    <definedName name="Z_6EF643BE_69F3_424E_8A44_3890161370D4_.wvu.PrintArea" localSheetId="6" hidden="1">Mort!$A$1:$L$50</definedName>
    <definedName name="Z_6EF643BE_69F3_424E_8A44_3890161370D4_.wvu.PrintArea" localSheetId="1" hidden="1">'Sources and Use'!$A$1:$C$42</definedName>
    <definedName name="Z_6EF643BE_69F3_424E_8A44_3890161370D4_.wvu.PrintArea" localSheetId="4" hidden="1">'Units &amp; Income'!$B$1:$F$44</definedName>
    <definedName name="Z_6EF643BE_69F3_424E_8A44_3890161370D4_.wvu.Rows" localSheetId="3" hidden="1">'Cons Int &amp; Neg Arb'!$54:$54</definedName>
    <definedName name="Z_AEA5979F_5357_4ED6_A6CA_1BB80F5C7A74_.wvu.Cols" localSheetId="5" hidden="1">'M and O'!#REF!</definedName>
    <definedName name="Z_AEA5979F_5357_4ED6_A6CA_1BB80F5C7A74_.wvu.PrintArea" localSheetId="3" hidden="1">'Cons Int &amp; Neg Arb'!$A$1:$I$67</definedName>
    <definedName name="Z_AEA5979F_5357_4ED6_A6CA_1BB80F5C7A74_.wvu.PrintArea" localSheetId="2" hidden="1">'Devel. Bud'!$A$1:$F$90</definedName>
    <definedName name="Z_AEA5979F_5357_4ED6_A6CA_1BB80F5C7A74_.wvu.PrintArea" localSheetId="5" hidden="1">'M and O'!$A$1:$E$53</definedName>
    <definedName name="Z_AEA5979F_5357_4ED6_A6CA_1BB80F5C7A74_.wvu.PrintArea" localSheetId="6" hidden="1">Mort!$A$1:$L$50</definedName>
    <definedName name="Z_AEA5979F_5357_4ED6_A6CA_1BB80F5C7A74_.wvu.PrintArea" localSheetId="1" hidden="1">'Sources and Use'!$A$1:$C$42</definedName>
    <definedName name="Z_AEA5979F_5357_4ED6_A6CA_1BB80F5C7A74_.wvu.PrintArea" localSheetId="4" hidden="1">'Units &amp; Income'!$B$1:$F$44</definedName>
    <definedName name="Z_AEA5979F_5357_4ED6_A6CA_1BB80F5C7A74_.wvu.Rows" localSheetId="3" hidden="1">'Cons Int &amp; Neg Arb'!$54:$54</definedName>
    <definedName name="Z_EB776EFC_3589_4DB5_BEAF_1E83D9703F9E_.wvu.Cols" localSheetId="3" hidden="1">'Cons Int &amp; Neg Arb'!#REF!</definedName>
    <definedName name="Z_EB776EFC_3589_4DB5_BEAF_1E83D9703F9E_.wvu.Cols" localSheetId="2" hidden="1">'Devel. Bud'!#REF!</definedName>
    <definedName name="Z_EB776EFC_3589_4DB5_BEAF_1E83D9703F9E_.wvu.Cols" localSheetId="5" hidden="1">'M and O'!#REF!</definedName>
    <definedName name="Z_EB776EFC_3589_4DB5_BEAF_1E83D9703F9E_.wvu.PrintArea" localSheetId="2" hidden="1">'Devel. Bud'!$A$1:$F$90</definedName>
    <definedName name="Z_EB776EFC_3589_4DB5_BEAF_1E83D9703F9E_.wvu.PrintArea" localSheetId="5" hidden="1">'M and O'!$A$1:$E$53</definedName>
    <definedName name="Z_EB776EFC_3589_4DB5_BEAF_1E83D9703F9E_.wvu.PrintArea" localSheetId="6" hidden="1">Mort!$A$1:$L$50</definedName>
    <definedName name="Z_EB776EFC_3589_4DB5_BEAF_1E83D9703F9E_.wvu.PrintArea" localSheetId="4" hidden="1">'Units &amp; Income'!$B$1:$F$44</definedName>
    <definedName name="Z_EB776EFC_3589_4DB5_BEAF_1E83D9703F9E_.wvu.Rows" localSheetId="3" hidden="1">'Cons Int &amp; Neg Arb'!$54:$54</definedName>
    <definedName name="Z_FBB4BF8E_8A9F_4E98_A6F9_5F9BF4C55C67_.wvu.Cols" localSheetId="3" hidden="1">'Cons Int &amp; Neg Arb'!#REF!</definedName>
    <definedName name="Z_FBB4BF8E_8A9F_4E98_A6F9_5F9BF4C55C67_.wvu.Cols" localSheetId="2" hidden="1">'Devel. Bud'!#REF!</definedName>
    <definedName name="Z_FBB4BF8E_8A9F_4E98_A6F9_5F9BF4C55C67_.wvu.Cols" localSheetId="5" hidden="1">'M and O'!#REF!</definedName>
    <definedName name="Z_FBB4BF8E_8A9F_4E98_A6F9_5F9BF4C55C67_.wvu.PrintArea" localSheetId="2" hidden="1">'Devel. Bud'!$A$1:$F$90</definedName>
    <definedName name="Z_FBB4BF8E_8A9F_4E98_A6F9_5F9BF4C55C67_.wvu.PrintArea" localSheetId="5" hidden="1">'M and O'!$A$1:$E$53</definedName>
    <definedName name="Z_FBB4BF8E_8A9F_4E98_A6F9_5F9BF4C55C67_.wvu.PrintArea" localSheetId="6" hidden="1">Mort!$A$1:$L$50</definedName>
    <definedName name="Z_FBB4BF8E_8A9F_4E98_A6F9_5F9BF4C55C67_.wvu.PrintArea" localSheetId="4" hidden="1">'Units &amp; Income'!$B$1:$F$44</definedName>
    <definedName name="Z_FBB4BF8E_8A9F_4E98_A6F9_5F9BF4C55C67_.wvu.Rows" localSheetId="3" hidden="1">'Cons Int &amp; Neg Arb'!$54:$54</definedName>
  </definedNames>
  <calcPr calcId="191029" iterate="1" iterateCount="50"/>
  <customWorkbookViews>
    <customWorkbookView name="NYC - Personal View" guid="{560D4AFA-61E5-46C3-B0CD-D0EB3053A033}" mergeInterval="0" personalView="1" maximized="1" windowWidth="994" windowHeight="554" tabRatio="734" activeSheetId="10" showComments="commIndAndComment"/>
    <customWorkbookView name="dandrepont - Personal View" guid="{1ECE83C7-A3CE-4F97-BFD3-498FF783C0D9}" mergeInterval="0" personalView="1" xWindow="365" yWindow="33" windowWidth="649" windowHeight="528" tabRatio="734" activeSheetId="5"/>
    <customWorkbookView name="akoffman - Personal View" guid="{6EF643BE-69F3-424E-8A44-3890161370D4}" mergeInterval="0" personalView="1" maximized="1" windowWidth="796" windowHeight="411" tabRatio="601" activeSheetId="5"/>
    <customWorkbookView name="rgrossman - Personal View" guid="{FBB4BF8E-8A9F-4E98-A6F9-5F9BF4C55C67}" mergeInterval="0" personalView="1" maximized="1" windowWidth="796" windowHeight="411" tabRatio="601" activeSheetId="5"/>
    <customWorkbookView name="  - Personal View" guid="{EB776EFC-3589-4DB5-BEAF-1E83D9703F9E}" mergeInterval="0" personalView="1" maximized="1" windowWidth="1020" windowHeight="632" tabRatio="601" activeSheetId="3"/>
    <customWorkbookView name="grodney - Personal View" guid="{AEA5979F-5357-4ED6-A6CA-1BB80F5C7A74}" mergeInterval="0" personalView="1" maximized="1" windowWidth="1020" windowHeight="604" tabRatio="601" activeSheetId="1"/>
    <customWorkbookView name="Shelly Fox - Personal View" guid="{28F81D13-D146-4D67-8981-BA5D7A496326}" mergeInterval="0" personalView="1" maximized="1" windowWidth="796" windowHeight="428" tabRatio="601" activeSheetId="5"/>
    <customWorkbookView name="framirez - Personal View" guid="{25C4E7E7-1006-4A2D-BC83-AEE4ADF8A914}" mergeInterval="0" personalView="1" maximized="1" windowWidth="796" windowHeight="402" tabRatio="734"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8" l="1"/>
  <c r="G37" i="3"/>
  <c r="G26" i="3"/>
  <c r="F106" i="1" l="1"/>
  <c r="F105" i="1"/>
  <c r="F104" i="1"/>
  <c r="F103" i="1"/>
  <c r="F98" i="1"/>
  <c r="F97" i="1"/>
  <c r="F96" i="1"/>
  <c r="F95" i="1"/>
  <c r="F90" i="1"/>
  <c r="F89" i="1"/>
  <c r="F88" i="1"/>
  <c r="F87" i="1"/>
  <c r="F82" i="1"/>
  <c r="F81" i="1"/>
  <c r="F80" i="1"/>
  <c r="F79" i="1"/>
  <c r="F74" i="1"/>
  <c r="F73" i="1"/>
  <c r="F72" i="1"/>
  <c r="F71" i="1"/>
  <c r="F64" i="1"/>
  <c r="F65" i="1"/>
  <c r="F66" i="1"/>
  <c r="F63" i="1"/>
  <c r="J49" i="1"/>
  <c r="I49" i="1"/>
  <c r="H49" i="1"/>
  <c r="J48" i="1"/>
  <c r="I48" i="1"/>
  <c r="H48" i="1"/>
  <c r="J47" i="1"/>
  <c r="I47" i="1"/>
  <c r="H47" i="1"/>
  <c r="C47" i="1"/>
  <c r="J46" i="1"/>
  <c r="I46" i="1"/>
  <c r="H46" i="1"/>
  <c r="C46" i="1"/>
  <c r="C115" i="16"/>
  <c r="N114" i="16"/>
  <c r="N113" i="16" s="1"/>
  <c r="D114" i="16"/>
  <c r="E114" i="16" s="1"/>
  <c r="O112" i="16"/>
  <c r="P112" i="16" s="1"/>
  <c r="N112" i="16"/>
  <c r="N111" i="16" s="1"/>
  <c r="N110" i="16" s="1"/>
  <c r="N109" i="16" s="1"/>
  <c r="N108" i="16" s="1"/>
  <c r="D112" i="16"/>
  <c r="E112" i="16" s="1"/>
  <c r="P110" i="16"/>
  <c r="C110" i="16"/>
  <c r="D110" i="16" s="1"/>
  <c r="E110" i="16" s="1"/>
  <c r="P109" i="16"/>
  <c r="O109" i="16"/>
  <c r="O110" i="16" s="1"/>
  <c r="O111" i="16" s="1"/>
  <c r="P108" i="16"/>
  <c r="D111" i="16" s="1"/>
  <c r="E111" i="16" s="1"/>
  <c r="C103" i="16"/>
  <c r="N102" i="16"/>
  <c r="E102" i="16"/>
  <c r="D102" i="16"/>
  <c r="N101" i="16"/>
  <c r="N100" i="16"/>
  <c r="N99" i="16" s="1"/>
  <c r="N98" i="16" s="1"/>
  <c r="N97" i="16" s="1"/>
  <c r="D100" i="16"/>
  <c r="E100" i="16" s="1"/>
  <c r="P99" i="16"/>
  <c r="D101" i="16" s="1"/>
  <c r="E101" i="16" s="1"/>
  <c r="O98" i="16"/>
  <c r="O99" i="16" s="1"/>
  <c r="O100" i="16" s="1"/>
  <c r="P100" i="16" s="1"/>
  <c r="C98" i="16"/>
  <c r="D98" i="16" s="1"/>
  <c r="E98" i="16" s="1"/>
  <c r="P97" i="16"/>
  <c r="O97" i="16"/>
  <c r="P96" i="16"/>
  <c r="N96" i="16"/>
  <c r="C93" i="16"/>
  <c r="C91" i="16"/>
  <c r="N90" i="16"/>
  <c r="N89" i="16" s="1"/>
  <c r="N88" i="16" s="1"/>
  <c r="N87" i="16" s="1"/>
  <c r="N86" i="16" s="1"/>
  <c r="N85" i="16" s="1"/>
  <c r="N84" i="16" s="1"/>
  <c r="D90" i="16"/>
  <c r="E90" i="16" s="1"/>
  <c r="D88" i="16"/>
  <c r="E88" i="16" s="1"/>
  <c r="G88" i="16" s="1"/>
  <c r="C86" i="16"/>
  <c r="D86" i="16" s="1"/>
  <c r="E86" i="16" s="1"/>
  <c r="O85" i="16"/>
  <c r="P85" i="16" s="1"/>
  <c r="P84" i="16"/>
  <c r="C79" i="16"/>
  <c r="N78" i="16"/>
  <c r="D78" i="16"/>
  <c r="E78" i="16" s="1"/>
  <c r="N77" i="16"/>
  <c r="N76" i="16" s="1"/>
  <c r="D76" i="16"/>
  <c r="E76" i="16" s="1"/>
  <c r="H76" i="16" s="1"/>
  <c r="N75" i="16"/>
  <c r="N74" i="16"/>
  <c r="N73" i="16" s="1"/>
  <c r="N72" i="16" s="1"/>
  <c r="C74" i="16"/>
  <c r="D74" i="16" s="1"/>
  <c r="E74" i="16" s="1"/>
  <c r="O73" i="16"/>
  <c r="P72" i="16"/>
  <c r="C66" i="16"/>
  <c r="N65" i="16"/>
  <c r="N64" i="16" s="1"/>
  <c r="N63" i="16" s="1"/>
  <c r="N62" i="16" s="1"/>
  <c r="N61" i="16" s="1"/>
  <c r="N60" i="16" s="1"/>
  <c r="N59" i="16" s="1"/>
  <c r="H65" i="16"/>
  <c r="G65" i="16"/>
  <c r="F65" i="16"/>
  <c r="K65" i="16" s="1"/>
  <c r="D65" i="16"/>
  <c r="E65" i="16" s="1"/>
  <c r="I63" i="16"/>
  <c r="H63" i="16"/>
  <c r="D63" i="16"/>
  <c r="E63" i="16" s="1"/>
  <c r="O62" i="16"/>
  <c r="P61" i="16"/>
  <c r="C61" i="16"/>
  <c r="D61" i="16" s="1"/>
  <c r="E61" i="16" s="1"/>
  <c r="P60" i="16"/>
  <c r="O60" i="16"/>
  <c r="O61" i="16" s="1"/>
  <c r="P59" i="16"/>
  <c r="D62" i="16" s="1"/>
  <c r="E62" i="16" s="1"/>
  <c r="C53" i="16"/>
  <c r="N52" i="16"/>
  <c r="L52" i="16"/>
  <c r="G52" i="16"/>
  <c r="F52" i="16"/>
  <c r="K52" i="16" s="1"/>
  <c r="E52" i="16"/>
  <c r="H52" i="16" s="1"/>
  <c r="D52" i="16"/>
  <c r="N51" i="16"/>
  <c r="N50" i="16"/>
  <c r="N49" i="16" s="1"/>
  <c r="N48" i="16" s="1"/>
  <c r="N47" i="16" s="1"/>
  <c r="N46" i="16" s="1"/>
  <c r="D50" i="16"/>
  <c r="E50" i="16" s="1"/>
  <c r="H50" i="16" s="1"/>
  <c r="D48" i="16"/>
  <c r="E48" i="16" s="1"/>
  <c r="C48" i="16"/>
  <c r="O47" i="16"/>
  <c r="O48" i="16" s="1"/>
  <c r="P46" i="16"/>
  <c r="C40" i="16"/>
  <c r="N39" i="16"/>
  <c r="D39" i="16"/>
  <c r="E39" i="16" s="1"/>
  <c r="N38" i="16"/>
  <c r="N37" i="16" s="1"/>
  <c r="N36" i="16" s="1"/>
  <c r="N35" i="16" s="1"/>
  <c r="N34" i="16" s="1"/>
  <c r="N33" i="16" s="1"/>
  <c r="I37" i="16"/>
  <c r="G37" i="16"/>
  <c r="E37" i="16"/>
  <c r="H37" i="16" s="1"/>
  <c r="D37" i="16"/>
  <c r="D35" i="16"/>
  <c r="E35" i="16" s="1"/>
  <c r="C35" i="16"/>
  <c r="O34" i="16"/>
  <c r="P34" i="16" s="1"/>
  <c r="P33" i="16"/>
  <c r="D36" i="16" s="1"/>
  <c r="E36" i="16" s="1"/>
  <c r="C28" i="16"/>
  <c r="N27" i="16"/>
  <c r="N26" i="16" s="1"/>
  <c r="N25" i="16" s="1"/>
  <c r="D27" i="16"/>
  <c r="E27" i="16" s="1"/>
  <c r="I25" i="16"/>
  <c r="E25" i="16"/>
  <c r="D25" i="16"/>
  <c r="N24" i="16"/>
  <c r="N23" i="16" s="1"/>
  <c r="N22" i="16" s="1"/>
  <c r="N21" i="16" s="1"/>
  <c r="C23" i="16"/>
  <c r="D23" i="16" s="1"/>
  <c r="E23" i="16" s="1"/>
  <c r="O22" i="16"/>
  <c r="P22" i="16" s="1"/>
  <c r="P21" i="16"/>
  <c r="D24" i="16" s="1"/>
  <c r="E24" i="16" s="1"/>
  <c r="H10" i="16"/>
  <c r="H9" i="16"/>
  <c r="H8" i="16"/>
  <c r="H7" i="16"/>
  <c r="H6" i="16"/>
  <c r="H5" i="16"/>
  <c r="I76" i="16" l="1"/>
  <c r="G24" i="16"/>
  <c r="F24" i="16"/>
  <c r="I24" i="16"/>
  <c r="H24" i="16"/>
  <c r="G48" i="16"/>
  <c r="H48" i="16"/>
  <c r="F48" i="16"/>
  <c r="I48" i="16"/>
  <c r="G36" i="16"/>
  <c r="H36" i="16"/>
  <c r="F36" i="16"/>
  <c r="I36" i="16"/>
  <c r="F39" i="16"/>
  <c r="I39" i="16"/>
  <c r="H39" i="16"/>
  <c r="G39" i="16"/>
  <c r="O49" i="16"/>
  <c r="P48" i="16"/>
  <c r="I61" i="16"/>
  <c r="F61" i="16"/>
  <c r="G61" i="16"/>
  <c r="H61" i="16"/>
  <c r="F23" i="16"/>
  <c r="H23" i="16"/>
  <c r="I23" i="16"/>
  <c r="I27" i="16"/>
  <c r="H27" i="16"/>
  <c r="G27" i="16"/>
  <c r="F27" i="16"/>
  <c r="F35" i="16"/>
  <c r="H35" i="16"/>
  <c r="G35" i="16"/>
  <c r="I35" i="16"/>
  <c r="G23" i="16"/>
  <c r="H25" i="16"/>
  <c r="G25" i="16"/>
  <c r="F25" i="16"/>
  <c r="F62" i="16"/>
  <c r="G62" i="16"/>
  <c r="I62" i="16"/>
  <c r="H62" i="16"/>
  <c r="G86" i="16"/>
  <c r="F86" i="16"/>
  <c r="I86" i="16"/>
  <c r="H86" i="16"/>
  <c r="G50" i="16"/>
  <c r="P73" i="16"/>
  <c r="D75" i="16" s="1"/>
  <c r="E75" i="16" s="1"/>
  <c r="O74" i="16"/>
  <c r="G101" i="16"/>
  <c r="F101" i="16"/>
  <c r="I101" i="16"/>
  <c r="H101" i="16"/>
  <c r="O23" i="16"/>
  <c r="P47" i="16"/>
  <c r="D49" i="16" s="1"/>
  <c r="E49" i="16" s="1"/>
  <c r="P62" i="16"/>
  <c r="C56" i="16"/>
  <c r="O63" i="16"/>
  <c r="F74" i="16"/>
  <c r="I74" i="16"/>
  <c r="H74" i="16"/>
  <c r="F78" i="16"/>
  <c r="G78" i="16"/>
  <c r="I78" i="16"/>
  <c r="H78" i="16"/>
  <c r="G112" i="16"/>
  <c r="F112" i="16"/>
  <c r="I112" i="16"/>
  <c r="H112" i="16"/>
  <c r="I50" i="16"/>
  <c r="F50" i="16"/>
  <c r="F111" i="16"/>
  <c r="I111" i="16"/>
  <c r="H111" i="16"/>
  <c r="G111" i="16"/>
  <c r="O35" i="16"/>
  <c r="F37" i="16"/>
  <c r="G63" i="16"/>
  <c r="F63" i="16"/>
  <c r="G74" i="16"/>
  <c r="G90" i="16"/>
  <c r="F90" i="16"/>
  <c r="H90" i="16"/>
  <c r="I90" i="16"/>
  <c r="H98" i="16"/>
  <c r="G98" i="16"/>
  <c r="F98" i="16"/>
  <c r="I98" i="16"/>
  <c r="L65" i="16"/>
  <c r="I114" i="16"/>
  <c r="H114" i="16"/>
  <c r="F100" i="16"/>
  <c r="I100" i="16"/>
  <c r="H102" i="16"/>
  <c r="G102" i="16"/>
  <c r="I110" i="16"/>
  <c r="H110" i="16"/>
  <c r="F114" i="16"/>
  <c r="F76" i="16"/>
  <c r="D87" i="16"/>
  <c r="E87" i="16" s="1"/>
  <c r="I88" i="16"/>
  <c r="H88" i="16"/>
  <c r="D99" i="16"/>
  <c r="E99" i="16" s="1"/>
  <c r="G100" i="16"/>
  <c r="F102" i="16"/>
  <c r="F110" i="16"/>
  <c r="O113" i="16"/>
  <c r="G114" i="16"/>
  <c r="I52" i="16"/>
  <c r="I65" i="16"/>
  <c r="G76" i="16"/>
  <c r="O86" i="16"/>
  <c r="F88" i="16"/>
  <c r="P98" i="16"/>
  <c r="H100" i="16"/>
  <c r="O101" i="16"/>
  <c r="I102" i="16"/>
  <c r="P111" i="16"/>
  <c r="D113" i="16" s="1"/>
  <c r="E113" i="16" s="1"/>
  <c r="C105" i="16"/>
  <c r="G110" i="16"/>
  <c r="G75" i="16" l="1"/>
  <c r="I75" i="16"/>
  <c r="H75" i="16"/>
  <c r="F75" i="16"/>
  <c r="H49" i="16"/>
  <c r="G49" i="16"/>
  <c r="F49" i="16"/>
  <c r="I49" i="16"/>
  <c r="I99" i="16"/>
  <c r="H99" i="16"/>
  <c r="G99" i="16"/>
  <c r="F99" i="16"/>
  <c r="L98" i="16"/>
  <c r="K98" i="16"/>
  <c r="L63" i="16"/>
  <c r="K63" i="16"/>
  <c r="K111" i="16"/>
  <c r="L111" i="16"/>
  <c r="H113" i="16"/>
  <c r="G113" i="16"/>
  <c r="F113" i="16"/>
  <c r="I113" i="16"/>
  <c r="K50" i="16"/>
  <c r="L50" i="16"/>
  <c r="K74" i="16"/>
  <c r="L74" i="16"/>
  <c r="L101" i="16"/>
  <c r="K101" i="16"/>
  <c r="L48" i="16"/>
  <c r="K48" i="16"/>
  <c r="K78" i="16"/>
  <c r="L78" i="16"/>
  <c r="P63" i="16"/>
  <c r="O64" i="16"/>
  <c r="P23" i="16"/>
  <c r="O24" i="16"/>
  <c r="K62" i="16"/>
  <c r="L62" i="16"/>
  <c r="K35" i="16"/>
  <c r="L35" i="16"/>
  <c r="L24" i="16"/>
  <c r="K24" i="16"/>
  <c r="O114" i="16"/>
  <c r="P113" i="16"/>
  <c r="L76" i="16"/>
  <c r="K76" i="16"/>
  <c r="P35" i="16"/>
  <c r="O36" i="16"/>
  <c r="D64" i="16"/>
  <c r="E64" i="16" s="1"/>
  <c r="L86" i="16"/>
  <c r="K86" i="16"/>
  <c r="L61" i="16"/>
  <c r="K61" i="16"/>
  <c r="L110" i="16"/>
  <c r="K110" i="16"/>
  <c r="K114" i="16"/>
  <c r="L114" i="16"/>
  <c r="L90" i="16"/>
  <c r="K90" i="16"/>
  <c r="L112" i="16"/>
  <c r="K112" i="16"/>
  <c r="K23" i="16"/>
  <c r="L23" i="16"/>
  <c r="L36" i="16"/>
  <c r="K36" i="16"/>
  <c r="L88" i="16"/>
  <c r="K88" i="16"/>
  <c r="L102" i="16"/>
  <c r="K102" i="16"/>
  <c r="P101" i="16"/>
  <c r="O102" i="16"/>
  <c r="P86" i="16"/>
  <c r="O87" i="16"/>
  <c r="H87" i="16"/>
  <c r="G87" i="16"/>
  <c r="I87" i="16"/>
  <c r="F87" i="16"/>
  <c r="K100" i="16"/>
  <c r="L100" i="16"/>
  <c r="L37" i="16"/>
  <c r="K37" i="16"/>
  <c r="P74" i="16"/>
  <c r="O75" i="16"/>
  <c r="L25" i="16"/>
  <c r="K25" i="16"/>
  <c r="L27" i="16"/>
  <c r="K27" i="16"/>
  <c r="O50" i="16"/>
  <c r="P49" i="16"/>
  <c r="C43" i="16"/>
  <c r="K39" i="16"/>
  <c r="L39" i="16"/>
  <c r="C14" i="3"/>
  <c r="G31" i="3"/>
  <c r="K11" i="4"/>
  <c r="I35" i="3"/>
  <c r="I34" i="3"/>
  <c r="G35" i="3"/>
  <c r="G34" i="3"/>
  <c r="I27" i="3"/>
  <c r="G28" i="3"/>
  <c r="G27" i="3"/>
  <c r="I23" i="3"/>
  <c r="I22" i="3"/>
  <c r="I15" i="3"/>
  <c r="I13" i="3"/>
  <c r="I12" i="3"/>
  <c r="I11" i="3"/>
  <c r="I10" i="3"/>
  <c r="G24" i="3"/>
  <c r="G23" i="3"/>
  <c r="G22" i="3"/>
  <c r="G21" i="3"/>
  <c r="G20" i="3"/>
  <c r="G19" i="3"/>
  <c r="G9" i="3"/>
  <c r="G15" i="3"/>
  <c r="G14" i="3"/>
  <c r="G13" i="3"/>
  <c r="G11" i="3"/>
  <c r="G10" i="3"/>
  <c r="L75" i="16" l="1"/>
  <c r="K75" i="16"/>
  <c r="O65" i="16"/>
  <c r="P64" i="16"/>
  <c r="P50" i="16"/>
  <c r="O51" i="16"/>
  <c r="C30" i="16"/>
  <c r="O37" i="16"/>
  <c r="P36" i="16"/>
  <c r="C18" i="16"/>
  <c r="P24" i="16"/>
  <c r="O25" i="16"/>
  <c r="L99" i="16"/>
  <c r="K99" i="16"/>
  <c r="O76" i="16"/>
  <c r="P75" i="16"/>
  <c r="C69" i="16"/>
  <c r="P102" i="16"/>
  <c r="O103" i="16"/>
  <c r="P103" i="16" s="1"/>
  <c r="O115" i="16"/>
  <c r="P115" i="16" s="1"/>
  <c r="P114" i="16"/>
  <c r="L49" i="16"/>
  <c r="K49" i="16"/>
  <c r="D51" i="16"/>
  <c r="E51" i="16" s="1"/>
  <c r="L87" i="16"/>
  <c r="K87" i="16"/>
  <c r="O88" i="16"/>
  <c r="P87" i="16"/>
  <c r="C81" i="16"/>
  <c r="H64" i="16"/>
  <c r="F64" i="16"/>
  <c r="I64" i="16"/>
  <c r="G64" i="16"/>
  <c r="L113" i="16"/>
  <c r="K113" i="16"/>
  <c r="O38" i="16" l="1"/>
  <c r="P37" i="16"/>
  <c r="K64" i="16"/>
  <c r="L64" i="16"/>
  <c r="O77" i="16"/>
  <c r="P76" i="16"/>
  <c r="D77" i="16" s="1"/>
  <c r="E77" i="16" s="1"/>
  <c r="P65" i="16"/>
  <c r="O66" i="16"/>
  <c r="P66" i="16" s="1"/>
  <c r="F51" i="16"/>
  <c r="G51" i="16"/>
  <c r="H51" i="16"/>
  <c r="I51" i="16"/>
  <c r="O26" i="16"/>
  <c r="P25" i="16"/>
  <c r="D26" i="16" s="1"/>
  <c r="E26" i="16" s="1"/>
  <c r="O89" i="16"/>
  <c r="P88" i="16"/>
  <c r="D89" i="16" s="1"/>
  <c r="E89" i="16" s="1"/>
  <c r="D103" i="16"/>
  <c r="E103" i="16" s="1"/>
  <c r="O52" i="16"/>
  <c r="P51" i="16"/>
  <c r="D115" i="16"/>
  <c r="E115" i="16" s="1"/>
  <c r="D38" i="16"/>
  <c r="E38" i="16" s="1"/>
  <c r="F89" i="16" l="1"/>
  <c r="I89" i="16"/>
  <c r="H89" i="16"/>
  <c r="G89" i="16"/>
  <c r="I26" i="16"/>
  <c r="G26" i="16"/>
  <c r="H26" i="16"/>
  <c r="F26" i="16"/>
  <c r="I77" i="16"/>
  <c r="G77" i="16"/>
  <c r="F77" i="16"/>
  <c r="H77" i="16"/>
  <c r="I38" i="16"/>
  <c r="F38" i="16"/>
  <c r="H38" i="16"/>
  <c r="G38" i="16"/>
  <c r="F115" i="16"/>
  <c r="I115" i="16"/>
  <c r="H115" i="16"/>
  <c r="G115" i="16"/>
  <c r="O27" i="16"/>
  <c r="P26" i="16"/>
  <c r="H103" i="16"/>
  <c r="G103" i="16"/>
  <c r="I103" i="16"/>
  <c r="F103" i="16"/>
  <c r="L51" i="16"/>
  <c r="K51" i="16"/>
  <c r="O78" i="16"/>
  <c r="P77" i="16"/>
  <c r="O39" i="16"/>
  <c r="P38" i="16"/>
  <c r="P52" i="16"/>
  <c r="O53" i="16"/>
  <c r="P53" i="16" s="1"/>
  <c r="P89" i="16"/>
  <c r="O90" i="16"/>
  <c r="D66" i="16"/>
  <c r="E66" i="16" s="1"/>
  <c r="O91" i="16" l="1"/>
  <c r="P91" i="16" s="1"/>
  <c r="P90" i="16"/>
  <c r="L26" i="16"/>
  <c r="K26" i="16"/>
  <c r="L77" i="16"/>
  <c r="K77" i="16"/>
  <c r="L38" i="16"/>
  <c r="K38" i="16"/>
  <c r="O40" i="16"/>
  <c r="P40" i="16" s="1"/>
  <c r="P39" i="16"/>
  <c r="I66" i="16"/>
  <c r="H66" i="16"/>
  <c r="G66" i="16"/>
  <c r="F66" i="16"/>
  <c r="D53" i="16"/>
  <c r="E53" i="16" s="1"/>
  <c r="O79" i="16"/>
  <c r="P79" i="16" s="1"/>
  <c r="P78" i="16"/>
  <c r="P27" i="16"/>
  <c r="O28" i="16"/>
  <c r="P28" i="16" s="1"/>
  <c r="K89" i="16"/>
  <c r="L89" i="16"/>
  <c r="H53" i="16" l="1"/>
  <c r="F53" i="16"/>
  <c r="G53" i="16"/>
  <c r="I53" i="16"/>
  <c r="D28" i="16"/>
  <c r="E28" i="16" s="1"/>
  <c r="D40" i="16"/>
  <c r="E40" i="16" s="1"/>
  <c r="D91" i="16"/>
  <c r="E91" i="16" s="1"/>
  <c r="D79" i="16"/>
  <c r="E79" i="16" s="1"/>
  <c r="G91" i="16" l="1"/>
  <c r="F91" i="16"/>
  <c r="I91" i="16"/>
  <c r="H91" i="16"/>
  <c r="F79" i="16"/>
  <c r="I79" i="16"/>
  <c r="H79" i="16"/>
  <c r="G79" i="16"/>
  <c r="F40" i="16"/>
  <c r="I40" i="16"/>
  <c r="H40" i="16"/>
  <c r="G40" i="16"/>
  <c r="I28" i="16"/>
  <c r="G28" i="16"/>
  <c r="F28" i="16"/>
  <c r="H28" i="16"/>
  <c r="C15" i="3" l="1"/>
  <c r="C11" i="3"/>
  <c r="C20" i="1"/>
  <c r="C19" i="1"/>
  <c r="C18" i="1"/>
  <c r="C17" i="1"/>
  <c r="E11" i="5" l="1"/>
  <c r="G64" i="1" l="1"/>
  <c r="G96" i="1" s="1"/>
  <c r="G65" i="1"/>
  <c r="G57" i="1" s="1"/>
  <c r="G66" i="1"/>
  <c r="G74" i="1" s="1"/>
  <c r="G63" i="1"/>
  <c r="G79" i="1" s="1"/>
  <c r="B27" i="2"/>
  <c r="N47" i="1"/>
  <c r="N48" i="1"/>
  <c r="N49" i="1"/>
  <c r="N46" i="1"/>
  <c r="I107" i="1"/>
  <c r="I59" i="1"/>
  <c r="D53" i="1"/>
  <c r="E57" i="1" s="1"/>
  <c r="F57" i="1" s="1"/>
  <c r="J57" i="1" s="1"/>
  <c r="D101" i="1"/>
  <c r="E105" i="1" s="1"/>
  <c r="D93" i="1"/>
  <c r="E96" i="1" s="1"/>
  <c r="D85" i="1"/>
  <c r="E89" i="1" s="1"/>
  <c r="D77" i="1"/>
  <c r="E82" i="1" s="1"/>
  <c r="D69" i="1"/>
  <c r="E73" i="1" s="1"/>
  <c r="D61" i="1"/>
  <c r="E64" i="1" s="1"/>
  <c r="O47" i="1"/>
  <c r="P47" i="1"/>
  <c r="Q47" i="1"/>
  <c r="R47" i="1"/>
  <c r="S47" i="1"/>
  <c r="T47" i="1"/>
  <c r="O48" i="1"/>
  <c r="P48" i="1"/>
  <c r="Q48" i="1"/>
  <c r="R48" i="1"/>
  <c r="S48" i="1"/>
  <c r="T48" i="1"/>
  <c r="O49" i="1"/>
  <c r="P49" i="1"/>
  <c r="Q49" i="1"/>
  <c r="R49" i="1"/>
  <c r="S49" i="1"/>
  <c r="T49" i="1"/>
  <c r="U48" i="1"/>
  <c r="U50" i="1" s="1"/>
  <c r="T46" i="1"/>
  <c r="S46" i="1"/>
  <c r="S50" i="1" s="1"/>
  <c r="R46" i="1"/>
  <c r="R50" i="1" s="1"/>
  <c r="Q46" i="1"/>
  <c r="P46" i="1"/>
  <c r="O46" i="1"/>
  <c r="T45" i="1"/>
  <c r="S45" i="1"/>
  <c r="R45" i="1"/>
  <c r="Q45" i="1"/>
  <c r="P45" i="1"/>
  <c r="O45" i="1"/>
  <c r="E32" i="1"/>
  <c r="E31" i="1"/>
  <c r="C10" i="1"/>
  <c r="B8" i="1" s="1"/>
  <c r="I91" i="1"/>
  <c r="I99" i="1"/>
  <c r="I67" i="1"/>
  <c r="I75" i="1"/>
  <c r="I83" i="1"/>
  <c r="E17" i="1"/>
  <c r="E18" i="1"/>
  <c r="E19" i="1"/>
  <c r="E20" i="1"/>
  <c r="B25" i="2"/>
  <c r="B28" i="2"/>
  <c r="B29" i="2"/>
  <c r="B15" i="2"/>
  <c r="A15" i="2"/>
  <c r="A29" i="2"/>
  <c r="F7" i="1"/>
  <c r="C34" i="1"/>
  <c r="E34" i="1" s="1"/>
  <c r="D14" i="4" s="1"/>
  <c r="F8" i="1"/>
  <c r="C36" i="1" s="1"/>
  <c r="E36" i="1" s="1"/>
  <c r="D15" i="4" s="1"/>
  <c r="E30" i="1"/>
  <c r="D13" i="4" s="1"/>
  <c r="A1" i="14"/>
  <c r="A2" i="14"/>
  <c r="G1" i="14"/>
  <c r="F9" i="1"/>
  <c r="D50" i="9"/>
  <c r="D32" i="10"/>
  <c r="D36" i="10" s="1"/>
  <c r="D15" i="5"/>
  <c r="D16" i="5" s="1"/>
  <c r="B16" i="6"/>
  <c r="C16" i="6" s="1"/>
  <c r="D48" i="6" s="1"/>
  <c r="E22" i="1"/>
  <c r="C31" i="3"/>
  <c r="C32" i="3"/>
  <c r="C34" i="3"/>
  <c r="D26" i="4"/>
  <c r="D36" i="5"/>
  <c r="C38" i="9" s="1"/>
  <c r="J110" i="1"/>
  <c r="J111" i="1"/>
  <c r="J112" i="1"/>
  <c r="J113" i="1"/>
  <c r="E12" i="5"/>
  <c r="E13" i="5"/>
  <c r="E14" i="5"/>
  <c r="E10" i="5"/>
  <c r="B60" i="6"/>
  <c r="B63" i="6"/>
  <c r="C60" i="6"/>
  <c r="C63" i="6" s="1"/>
  <c r="C14" i="6"/>
  <c r="C64" i="6" s="1"/>
  <c r="E35" i="6"/>
  <c r="E37" i="6"/>
  <c r="C15" i="6"/>
  <c r="D38" i="6" s="1"/>
  <c r="E36" i="6"/>
  <c r="E38" i="6"/>
  <c r="E39" i="6"/>
  <c r="E40" i="6"/>
  <c r="E41" i="6"/>
  <c r="B29" i="6"/>
  <c r="E46" i="6" s="1"/>
  <c r="E49" i="6"/>
  <c r="E48" i="6"/>
  <c r="B12" i="2"/>
  <c r="C13" i="9"/>
  <c r="C14" i="9"/>
  <c r="C15" i="9"/>
  <c r="A13" i="9"/>
  <c r="A14" i="9"/>
  <c r="A15" i="9"/>
  <c r="A16" i="9"/>
  <c r="C12" i="9"/>
  <c r="F1" i="11"/>
  <c r="G1" i="12"/>
  <c r="A2" i="12"/>
  <c r="A1" i="12"/>
  <c r="A2" i="11"/>
  <c r="A1" i="11"/>
  <c r="D1" i="10"/>
  <c r="A2" i="10"/>
  <c r="A1" i="10"/>
  <c r="C24" i="9"/>
  <c r="C25" i="9"/>
  <c r="C26" i="9"/>
  <c r="C27" i="9"/>
  <c r="C28" i="9"/>
  <c r="C29" i="9"/>
  <c r="C30" i="9"/>
  <c r="C31" i="9"/>
  <c r="C33" i="9"/>
  <c r="C34" i="9"/>
  <c r="C35" i="9"/>
  <c r="C36" i="9"/>
  <c r="C37" i="9"/>
  <c r="E19" i="11"/>
  <c r="E18" i="11"/>
  <c r="E12" i="11"/>
  <c r="I7" i="12"/>
  <c r="I8" i="12"/>
  <c r="I9" i="12"/>
  <c r="I10" i="12"/>
  <c r="C11" i="12"/>
  <c r="E11" i="12"/>
  <c r="G11" i="12"/>
  <c r="I15" i="12"/>
  <c r="I16" i="12"/>
  <c r="I17" i="12"/>
  <c r="I18" i="12"/>
  <c r="I19" i="12"/>
  <c r="C20" i="12"/>
  <c r="E20" i="12"/>
  <c r="G20" i="12"/>
  <c r="I23" i="12"/>
  <c r="I24" i="12"/>
  <c r="I25" i="12"/>
  <c r="I26" i="12"/>
  <c r="I27" i="12"/>
  <c r="C28" i="12"/>
  <c r="E28" i="12"/>
  <c r="G28" i="12"/>
  <c r="I33" i="12"/>
  <c r="I35" i="12"/>
  <c r="I36" i="12"/>
  <c r="I37" i="12"/>
  <c r="I40" i="12" s="1"/>
  <c r="I38" i="12"/>
  <c r="I39" i="12"/>
  <c r="C40" i="12"/>
  <c r="E40" i="12"/>
  <c r="G40" i="12"/>
  <c r="I43" i="12"/>
  <c r="I44" i="12"/>
  <c r="I45" i="12"/>
  <c r="I46" i="12"/>
  <c r="I47" i="12"/>
  <c r="C48" i="12"/>
  <c r="E48" i="12"/>
  <c r="G48" i="12"/>
  <c r="I52" i="12"/>
  <c r="I53" i="12"/>
  <c r="D19" i="9"/>
  <c r="C74" i="9"/>
  <c r="B11" i="2"/>
  <c r="A81" i="5"/>
  <c r="A8" i="2" s="1"/>
  <c r="A21" i="2" s="1"/>
  <c r="A82" i="5"/>
  <c r="A9" i="2" s="1"/>
  <c r="A22" i="2" s="1"/>
  <c r="A83" i="5"/>
  <c r="A10" i="2"/>
  <c r="A23" i="2" s="1"/>
  <c r="A86" i="5"/>
  <c r="A13" i="2" s="1"/>
  <c r="A27" i="2" s="1"/>
  <c r="A84" i="5"/>
  <c r="A11" i="2" s="1"/>
  <c r="A25" i="2" s="1"/>
  <c r="A85" i="5"/>
  <c r="A12" i="2" s="1"/>
  <c r="A26" i="2" s="1"/>
  <c r="A87" i="5"/>
  <c r="A14" i="2"/>
  <c r="A28" i="2" s="1"/>
  <c r="A40" i="6"/>
  <c r="A41" i="6"/>
  <c r="A39" i="6"/>
  <c r="C56" i="9"/>
  <c r="C57" i="9"/>
  <c r="C58" i="9"/>
  <c r="C59" i="9"/>
  <c r="C61" i="9"/>
  <c r="A48" i="9"/>
  <c r="C48" i="9"/>
  <c r="G2" i="9"/>
  <c r="M2" i="8"/>
  <c r="K2" i="4"/>
  <c r="D2" i="3"/>
  <c r="I2" i="1"/>
  <c r="E2" i="6"/>
  <c r="E2" i="5"/>
  <c r="A68" i="9"/>
  <c r="A70" i="9"/>
  <c r="A72" i="9"/>
  <c r="A74" i="9"/>
  <c r="A76" i="9"/>
  <c r="A38" i="9"/>
  <c r="A40" i="9"/>
  <c r="A41" i="9"/>
  <c r="A42" i="9"/>
  <c r="A43" i="9"/>
  <c r="A44" i="9"/>
  <c r="A45" i="9"/>
  <c r="C45" i="9"/>
  <c r="A46" i="9"/>
  <c r="C46" i="9"/>
  <c r="A47" i="9"/>
  <c r="C47" i="9"/>
  <c r="A49" i="9"/>
  <c r="C49" i="9"/>
  <c r="A50" i="9"/>
  <c r="A52" i="9"/>
  <c r="A53" i="9"/>
  <c r="A54" i="9"/>
  <c r="A55" i="9"/>
  <c r="A56" i="9"/>
  <c r="A57" i="9"/>
  <c r="A58" i="9"/>
  <c r="A59" i="9"/>
  <c r="A60" i="9"/>
  <c r="C60" i="9"/>
  <c r="A61" i="9"/>
  <c r="A62" i="9"/>
  <c r="A64" i="9"/>
  <c r="A65" i="9"/>
  <c r="C65" i="9"/>
  <c r="A66" i="9"/>
  <c r="A67" i="9"/>
  <c r="C67" i="9"/>
  <c r="A80" i="5"/>
  <c r="A7" i="2" s="1"/>
  <c r="A20" i="2" s="1"/>
  <c r="A36" i="9"/>
  <c r="A37" i="9"/>
  <c r="A25" i="9"/>
  <c r="A26" i="9"/>
  <c r="A27" i="9"/>
  <c r="A28" i="9"/>
  <c r="A29" i="9"/>
  <c r="A30" i="9"/>
  <c r="A31" i="9"/>
  <c r="A32" i="9"/>
  <c r="A33" i="9"/>
  <c r="A34" i="9"/>
  <c r="A35" i="9"/>
  <c r="C8" i="9"/>
  <c r="A10" i="9"/>
  <c r="A11" i="9"/>
  <c r="A12" i="9"/>
  <c r="A19" i="9"/>
  <c r="A22" i="9"/>
  <c r="A24" i="9"/>
  <c r="A8" i="9"/>
  <c r="A2" i="9"/>
  <c r="A1" i="9"/>
  <c r="H15" i="4"/>
  <c r="A2" i="8"/>
  <c r="A101" i="5"/>
  <c r="B1" i="1"/>
  <c r="A1" i="8" s="1"/>
  <c r="A1" i="5"/>
  <c r="A1" i="6" s="1"/>
  <c r="A1" i="3" s="1"/>
  <c r="A1" i="4" s="1"/>
  <c r="B34" i="2"/>
  <c r="B37" i="2"/>
  <c r="B2" i="1"/>
  <c r="A2" i="5" s="1"/>
  <c r="A2" i="6" s="1"/>
  <c r="A2" i="3" s="1"/>
  <c r="A2" i="4" s="1"/>
  <c r="C55" i="9"/>
  <c r="C32" i="9"/>
  <c r="D38" i="9"/>
  <c r="C68" i="9"/>
  <c r="D70" i="9"/>
  <c r="B14" i="2"/>
  <c r="B24" i="2"/>
  <c r="D62" i="9"/>
  <c r="E47" i="6"/>
  <c r="O50" i="1"/>
  <c r="Q50" i="1"/>
  <c r="F23" i="1"/>
  <c r="F5" i="1" s="1"/>
  <c r="E71" i="1"/>
  <c r="E103" i="1"/>
  <c r="E104" i="1"/>
  <c r="C29" i="3" l="1"/>
  <c r="E72" i="1"/>
  <c r="H64" i="1"/>
  <c r="J64" i="1" s="1"/>
  <c r="E106" i="1"/>
  <c r="E65" i="1"/>
  <c r="H65" i="1" s="1"/>
  <c r="J65" i="1" s="1"/>
  <c r="E63" i="1"/>
  <c r="H63" i="1" s="1"/>
  <c r="J63" i="1" s="1"/>
  <c r="E58" i="1"/>
  <c r="F58" i="1" s="1"/>
  <c r="E81" i="1"/>
  <c r="E55" i="1"/>
  <c r="F55" i="1" s="1"/>
  <c r="G50" i="12"/>
  <c r="E30" i="12"/>
  <c r="D46" i="6"/>
  <c r="E90" i="1"/>
  <c r="C16" i="9"/>
  <c r="D37" i="6"/>
  <c r="E88" i="1"/>
  <c r="B7" i="1"/>
  <c r="E22" i="11"/>
  <c r="P50" i="1"/>
  <c r="V49" i="1"/>
  <c r="V47" i="1"/>
  <c r="D35" i="6"/>
  <c r="I48" i="12"/>
  <c r="C50" i="12"/>
  <c r="C21" i="1"/>
  <c r="C23" i="1" s="1"/>
  <c r="C39" i="1" s="1"/>
  <c r="E39" i="1" s="1"/>
  <c r="E87" i="1"/>
  <c r="I115" i="1"/>
  <c r="B9" i="1"/>
  <c r="B6" i="1"/>
  <c r="J58" i="1"/>
  <c r="G88" i="1"/>
  <c r="G97" i="1"/>
  <c r="G73" i="1"/>
  <c r="H73" i="1" s="1"/>
  <c r="J73" i="1" s="1"/>
  <c r="E80" i="1"/>
  <c r="E95" i="1"/>
  <c r="E79" i="1"/>
  <c r="H79" i="1" s="1"/>
  <c r="J79" i="1" s="1"/>
  <c r="B35" i="2"/>
  <c r="C35" i="2" s="1"/>
  <c r="C19" i="9"/>
  <c r="H8" i="9"/>
  <c r="E16" i="5"/>
  <c r="D19" i="4"/>
  <c r="C12" i="8" s="1"/>
  <c r="D12" i="8" s="1"/>
  <c r="E12" i="8" s="1"/>
  <c r="F12" i="8" s="1"/>
  <c r="G12" i="8" s="1"/>
  <c r="H12" i="8" s="1"/>
  <c r="I12" i="8" s="1"/>
  <c r="J12" i="8" s="1"/>
  <c r="K12" i="8" s="1"/>
  <c r="L12" i="8" s="1"/>
  <c r="M12" i="8" s="1"/>
  <c r="N12" i="8" s="1"/>
  <c r="O12" i="8" s="1"/>
  <c r="P12" i="8" s="1"/>
  <c r="Q12" i="8" s="1"/>
  <c r="R12" i="8" s="1"/>
  <c r="S12" i="8" s="1"/>
  <c r="T12" i="8" s="1"/>
  <c r="U12" i="8" s="1"/>
  <c r="V12" i="8" s="1"/>
  <c r="W12" i="8" s="1"/>
  <c r="X12" i="8" s="1"/>
  <c r="Y12" i="8" s="1"/>
  <c r="Z12" i="8" s="1"/>
  <c r="AA12" i="8" s="1"/>
  <c r="AB12" i="8" s="1"/>
  <c r="AC12" i="8" s="1"/>
  <c r="AD12" i="8" s="1"/>
  <c r="AE12" i="8" s="1"/>
  <c r="AF12" i="8" s="1"/>
  <c r="E5" i="1"/>
  <c r="B5" i="1"/>
  <c r="J114" i="1"/>
  <c r="D41" i="6"/>
  <c r="G30" i="12"/>
  <c r="T50" i="1"/>
  <c r="E97" i="1"/>
  <c r="E98" i="1"/>
  <c r="E66" i="1"/>
  <c r="H66" i="1" s="1"/>
  <c r="J66" i="1" s="1"/>
  <c r="A24" i="2"/>
  <c r="V46" i="1"/>
  <c r="N50" i="1"/>
  <c r="G106" i="1"/>
  <c r="H106" i="1" s="1"/>
  <c r="J106" i="1" s="1"/>
  <c r="G90" i="1"/>
  <c r="G82" i="1"/>
  <c r="H82" i="1" s="1"/>
  <c r="J82" i="1" s="1"/>
  <c r="G104" i="1"/>
  <c r="H104" i="1" s="1"/>
  <c r="J104" i="1" s="1"/>
  <c r="G71" i="1"/>
  <c r="H71" i="1" s="1"/>
  <c r="G55" i="1"/>
  <c r="J55" i="1" s="1"/>
  <c r="G80" i="1"/>
  <c r="G87" i="1"/>
  <c r="G89" i="1"/>
  <c r="H89" i="1" s="1"/>
  <c r="J89" i="1" s="1"/>
  <c r="G95" i="1"/>
  <c r="G105" i="1"/>
  <c r="H105" i="1" s="1"/>
  <c r="J105" i="1" s="1"/>
  <c r="G81" i="1"/>
  <c r="G98" i="1"/>
  <c r="G103" i="1"/>
  <c r="H103" i="1" s="1"/>
  <c r="J103" i="1" s="1"/>
  <c r="G58" i="1"/>
  <c r="H96" i="1"/>
  <c r="J96" i="1" s="1"/>
  <c r="E56" i="1"/>
  <c r="F56" i="1" s="1"/>
  <c r="J56" i="1" s="1"/>
  <c r="E74" i="1"/>
  <c r="D17" i="4"/>
  <c r="C10" i="8" s="1"/>
  <c r="D10" i="8" s="1"/>
  <c r="E10" i="8" s="1"/>
  <c r="F10" i="8" s="1"/>
  <c r="G10" i="8" s="1"/>
  <c r="H10" i="8" s="1"/>
  <c r="I10" i="8" s="1"/>
  <c r="J10" i="8" s="1"/>
  <c r="K10" i="8" s="1"/>
  <c r="L10" i="8" s="1"/>
  <c r="M10" i="8" s="1"/>
  <c r="N10" i="8" s="1"/>
  <c r="O10" i="8" s="1"/>
  <c r="P10" i="8" s="1"/>
  <c r="Q10" i="8" s="1"/>
  <c r="R10" i="8" s="1"/>
  <c r="S10" i="8" s="1"/>
  <c r="T10" i="8" s="1"/>
  <c r="U10" i="8" s="1"/>
  <c r="V10" i="8" s="1"/>
  <c r="W10" i="8" s="1"/>
  <c r="X10" i="8" s="1"/>
  <c r="Y10" i="8" s="1"/>
  <c r="Z10" i="8" s="1"/>
  <c r="AA10" i="8" s="1"/>
  <c r="AB10" i="8" s="1"/>
  <c r="AC10" i="8" s="1"/>
  <c r="AD10" i="8" s="1"/>
  <c r="AE10" i="8" s="1"/>
  <c r="AF10" i="8" s="1"/>
  <c r="D18" i="4"/>
  <c r="C11" i="8" s="1"/>
  <c r="D11" i="8" s="1"/>
  <c r="E11" i="8" s="1"/>
  <c r="F11" i="8" s="1"/>
  <c r="G11" i="8" s="1"/>
  <c r="H11" i="8" s="1"/>
  <c r="I11" i="8" s="1"/>
  <c r="J11" i="8" s="1"/>
  <c r="K11" i="8" s="1"/>
  <c r="L11" i="8" s="1"/>
  <c r="M11" i="8" s="1"/>
  <c r="N11" i="8" s="1"/>
  <c r="O11" i="8" s="1"/>
  <c r="P11" i="8" s="1"/>
  <c r="Q11" i="8" s="1"/>
  <c r="R11" i="8" s="1"/>
  <c r="S11" i="8" s="1"/>
  <c r="T11" i="8" s="1"/>
  <c r="U11" i="8" s="1"/>
  <c r="V11" i="8" s="1"/>
  <c r="W11" i="8" s="1"/>
  <c r="X11" i="8" s="1"/>
  <c r="Y11" i="8" s="1"/>
  <c r="Z11" i="8" s="1"/>
  <c r="AA11" i="8" s="1"/>
  <c r="AB11" i="8" s="1"/>
  <c r="AC11" i="8" s="1"/>
  <c r="AD11" i="8" s="1"/>
  <c r="AE11" i="8" s="1"/>
  <c r="AF11" i="8" s="1"/>
  <c r="I20" i="12"/>
  <c r="D49" i="6"/>
  <c r="D40" i="6"/>
  <c r="D39" i="6"/>
  <c r="D72" i="9"/>
  <c r="D76" i="9" s="1"/>
  <c r="H13" i="9" s="1"/>
  <c r="C30" i="12"/>
  <c r="I28" i="12"/>
  <c r="D36" i="6"/>
  <c r="D47" i="6"/>
  <c r="E21" i="1"/>
  <c r="E23" i="1" s="1"/>
  <c r="D6" i="3" s="1"/>
  <c r="E50" i="12"/>
  <c r="I11" i="12"/>
  <c r="V48" i="1"/>
  <c r="G56" i="1"/>
  <c r="G72" i="1"/>
  <c r="H72" i="1" s="1"/>
  <c r="J72" i="1" s="1"/>
  <c r="B64" i="6"/>
  <c r="C27" i="3" l="1"/>
  <c r="C23" i="3"/>
  <c r="C21" i="3"/>
  <c r="C20" i="3"/>
  <c r="C25" i="2"/>
  <c r="B26" i="4"/>
  <c r="I1" i="12"/>
  <c r="C11" i="2"/>
  <c r="D5" i="3"/>
  <c r="D29" i="3" s="1"/>
  <c r="C24" i="2"/>
  <c r="E1" i="10"/>
  <c r="J71" i="1"/>
  <c r="H95" i="1"/>
  <c r="J95" i="1" s="1"/>
  <c r="H81" i="1"/>
  <c r="J81" i="1" s="1"/>
  <c r="H74" i="1"/>
  <c r="J74" i="1" s="1"/>
  <c r="H88" i="1"/>
  <c r="J88" i="1" s="1"/>
  <c r="H87" i="1"/>
  <c r="J87" i="1" s="1"/>
  <c r="C37" i="2"/>
  <c r="F2" i="6"/>
  <c r="F2" i="5"/>
  <c r="L2" i="4"/>
  <c r="C12" i="2"/>
  <c r="H90" i="1"/>
  <c r="J90" i="1" s="1"/>
  <c r="C14" i="2"/>
  <c r="K30" i="4"/>
  <c r="I24" i="4" s="1"/>
  <c r="J30" i="4"/>
  <c r="I23" i="4" s="1"/>
  <c r="C34" i="2"/>
  <c r="H2" i="9"/>
  <c r="H7" i="9" s="1"/>
  <c r="G1" i="11"/>
  <c r="I1" i="14"/>
  <c r="C28" i="2"/>
  <c r="I30" i="4"/>
  <c r="D93" i="5" s="1"/>
  <c r="B21" i="2" s="1"/>
  <c r="C21" i="2" s="1"/>
  <c r="F24" i="1"/>
  <c r="C27" i="2"/>
  <c r="C15" i="2"/>
  <c r="E2" i="3"/>
  <c r="J2" i="1"/>
  <c r="D67" i="5"/>
  <c r="D70" i="5" s="1"/>
  <c r="C70" i="9" s="1"/>
  <c r="D2" i="2"/>
  <c r="N2" i="8"/>
  <c r="C29" i="2"/>
  <c r="B16" i="5"/>
  <c r="I50" i="12"/>
  <c r="I22" i="4"/>
  <c r="B10" i="5"/>
  <c r="H80" i="1"/>
  <c r="J80" i="1" s="1"/>
  <c r="H9" i="9"/>
  <c r="J59" i="1"/>
  <c r="H98" i="1"/>
  <c r="J98" i="1" s="1"/>
  <c r="H97" i="1"/>
  <c r="J97" i="1" s="1"/>
  <c r="I36" i="4"/>
  <c r="I34" i="4" s="1"/>
  <c r="I33" i="4" s="1"/>
  <c r="D16" i="4"/>
  <c r="E41" i="1"/>
  <c r="J67" i="1"/>
  <c r="J107" i="1"/>
  <c r="H15" i="9"/>
  <c r="H16" i="9" s="1"/>
  <c r="H17" i="9" s="1"/>
  <c r="H18" i="9" s="1"/>
  <c r="H14" i="9"/>
  <c r="V50" i="1"/>
  <c r="W48" i="1" s="1"/>
  <c r="C22" i="3"/>
  <c r="I30" i="12"/>
  <c r="D81" i="5" l="1"/>
  <c r="C24" i="3"/>
  <c r="C28" i="3"/>
  <c r="C39" i="3"/>
  <c r="C13" i="3"/>
  <c r="C10" i="3"/>
  <c r="C35" i="3"/>
  <c r="D27" i="4" s="1"/>
  <c r="C19" i="8" s="1"/>
  <c r="D19" i="8" s="1"/>
  <c r="E19" i="8" s="1"/>
  <c r="F19" i="8" s="1"/>
  <c r="G19" i="8" s="1"/>
  <c r="H19" i="8" s="1"/>
  <c r="I19" i="8" s="1"/>
  <c r="J19" i="8" s="1"/>
  <c r="K19" i="8" s="1"/>
  <c r="L19" i="8" s="1"/>
  <c r="M19" i="8" s="1"/>
  <c r="N19" i="8" s="1"/>
  <c r="O19" i="8" s="1"/>
  <c r="P19" i="8" s="1"/>
  <c r="Q19" i="8" s="1"/>
  <c r="R19" i="8" s="1"/>
  <c r="S19" i="8" s="1"/>
  <c r="T19" i="8" s="1"/>
  <c r="U19" i="8" s="1"/>
  <c r="V19" i="8" s="1"/>
  <c r="W19" i="8" s="1"/>
  <c r="X19" i="8" s="1"/>
  <c r="Y19" i="8" s="1"/>
  <c r="Z19" i="8" s="1"/>
  <c r="AA19" i="8" s="1"/>
  <c r="AB19" i="8" s="1"/>
  <c r="AC19" i="8" s="1"/>
  <c r="AD19" i="8" s="1"/>
  <c r="AE19" i="8" s="1"/>
  <c r="AF19" i="8" s="1"/>
  <c r="J36" i="4"/>
  <c r="J34" i="4" s="1"/>
  <c r="J33" i="4" s="1"/>
  <c r="C66" i="9"/>
  <c r="D94" i="5"/>
  <c r="D82" i="5" s="1"/>
  <c r="J83" i="1"/>
  <c r="J75" i="1"/>
  <c r="J91" i="1"/>
  <c r="K36" i="4"/>
  <c r="K34" i="4" s="1"/>
  <c r="K35" i="4" s="1"/>
  <c r="I35" i="4"/>
  <c r="I25" i="4"/>
  <c r="J99" i="1"/>
  <c r="D20" i="4"/>
  <c r="D21" i="4" s="1"/>
  <c r="B48" i="6"/>
  <c r="F48" i="6" s="1"/>
  <c r="B39" i="6"/>
  <c r="F39" i="6" s="1"/>
  <c r="B8" i="2"/>
  <c r="C8" i="2" s="1"/>
  <c r="W49" i="1"/>
  <c r="R51" i="1"/>
  <c r="U51" i="1"/>
  <c r="N51" i="1"/>
  <c r="P51" i="1"/>
  <c r="T51" i="1"/>
  <c r="Q51" i="1"/>
  <c r="W47" i="1"/>
  <c r="O51" i="1"/>
  <c r="W46" i="1"/>
  <c r="S51" i="1"/>
  <c r="B27" i="4" l="1"/>
  <c r="J35" i="4"/>
  <c r="B22" i="2"/>
  <c r="C22" i="2" s="1"/>
  <c r="J117" i="1"/>
  <c r="J119" i="1" s="1"/>
  <c r="F41" i="1" s="1"/>
  <c r="K33" i="4"/>
  <c r="C13" i="8"/>
  <c r="D13" i="8" s="1"/>
  <c r="E13" i="8" s="1"/>
  <c r="F13" i="8" s="1"/>
  <c r="G13" i="8" s="1"/>
  <c r="H13" i="8" s="1"/>
  <c r="I13" i="8" s="1"/>
  <c r="J13" i="8" s="1"/>
  <c r="K13" i="8" s="1"/>
  <c r="L13" i="8" s="1"/>
  <c r="M13" i="8" s="1"/>
  <c r="N13" i="8" s="1"/>
  <c r="O13" i="8" s="1"/>
  <c r="P13" i="8" s="1"/>
  <c r="Q13" i="8" s="1"/>
  <c r="R13" i="8" s="1"/>
  <c r="S13" i="8" s="1"/>
  <c r="T13" i="8" s="1"/>
  <c r="U13" i="8" s="1"/>
  <c r="V13" i="8" s="1"/>
  <c r="W13" i="8" s="1"/>
  <c r="X13" i="8" s="1"/>
  <c r="Y13" i="8" s="1"/>
  <c r="Z13" i="8" s="1"/>
  <c r="AA13" i="8" s="1"/>
  <c r="AB13" i="8" s="1"/>
  <c r="AC13" i="8" s="1"/>
  <c r="AD13" i="8" s="1"/>
  <c r="AE13" i="8" s="1"/>
  <c r="AF13" i="8" s="1"/>
  <c r="B40" i="6"/>
  <c r="F40" i="6" s="1"/>
  <c r="B9" i="2"/>
  <c r="C9" i="2" s="1"/>
  <c r="B49" i="6"/>
  <c r="F49" i="6" s="1"/>
  <c r="D9" i="4" l="1"/>
  <c r="D10" i="4" s="1"/>
  <c r="D11" i="4" s="1"/>
  <c r="D22" i="4" l="1"/>
  <c r="C12" i="3"/>
  <c r="C9" i="8"/>
  <c r="C14" i="8" s="1"/>
  <c r="D9" i="8" l="1"/>
  <c r="D14" i="8" s="1"/>
  <c r="D18" i="8"/>
  <c r="E18" i="8" s="1"/>
  <c r="F18" i="8" s="1"/>
  <c r="G18" i="8" s="1"/>
  <c r="H18" i="8" s="1"/>
  <c r="I18" i="8" s="1"/>
  <c r="J18" i="8" s="1"/>
  <c r="K18" i="8" s="1"/>
  <c r="L18" i="8" s="1"/>
  <c r="M18" i="8" s="1"/>
  <c r="N18" i="8" s="1"/>
  <c r="O18" i="8" s="1"/>
  <c r="P18" i="8" s="1"/>
  <c r="Q18" i="8" s="1"/>
  <c r="R18" i="8" s="1"/>
  <c r="S18" i="8" s="1"/>
  <c r="T18" i="8" s="1"/>
  <c r="U18" i="8" s="1"/>
  <c r="V18" i="8" s="1"/>
  <c r="W18" i="8" s="1"/>
  <c r="X18" i="8" s="1"/>
  <c r="Y18" i="8" s="1"/>
  <c r="Z18" i="8" s="1"/>
  <c r="AA18" i="8" s="1"/>
  <c r="AB18" i="8" s="1"/>
  <c r="AC18" i="8" s="1"/>
  <c r="AD18" i="8" s="1"/>
  <c r="AE18" i="8" s="1"/>
  <c r="AF18" i="8" s="1"/>
  <c r="E9" i="8" l="1"/>
  <c r="E14" i="8" s="1"/>
  <c r="F9" i="8" l="1"/>
  <c r="F14" i="8" s="1"/>
  <c r="G9" i="8" l="1"/>
  <c r="G14" i="8" s="1"/>
  <c r="H9" i="8" l="1"/>
  <c r="H14" i="8" s="1"/>
  <c r="I9" i="8" l="1"/>
  <c r="J9" i="8" s="1"/>
  <c r="I14" i="8" l="1"/>
  <c r="J14" i="8"/>
  <c r="K9" i="8"/>
  <c r="L9" i="8" l="1"/>
  <c r="K14" i="8"/>
  <c r="L14" i="8" l="1"/>
  <c r="M9" i="8"/>
  <c r="M14" i="8" l="1"/>
  <c r="N9" i="8"/>
  <c r="O9" i="8" l="1"/>
  <c r="N14" i="8"/>
  <c r="P9" i="8" l="1"/>
  <c r="O14" i="8"/>
  <c r="Q9" i="8" l="1"/>
  <c r="P14" i="8"/>
  <c r="Q14" i="8" l="1"/>
  <c r="R9" i="8"/>
  <c r="R14" i="8" l="1"/>
  <c r="S9" i="8"/>
  <c r="S14" i="8" l="1"/>
  <c r="T9" i="8"/>
  <c r="U9" i="8" l="1"/>
  <c r="T14" i="8"/>
  <c r="V9" i="8" l="1"/>
  <c r="U14" i="8"/>
  <c r="V14" i="8" l="1"/>
  <c r="W9" i="8"/>
  <c r="W14" i="8" l="1"/>
  <c r="X9" i="8"/>
  <c r="X14" i="8" l="1"/>
  <c r="Y9" i="8"/>
  <c r="Y14" i="8" l="1"/>
  <c r="Z9" i="8"/>
  <c r="AA9" i="8" l="1"/>
  <c r="Z14" i="8"/>
  <c r="AB9" i="8" l="1"/>
  <c r="AA14" i="8"/>
  <c r="AC9" i="8" l="1"/>
  <c r="AB14" i="8"/>
  <c r="AC14" i="8" l="1"/>
  <c r="AD9" i="8"/>
  <c r="AE9" i="8" l="1"/>
  <c r="AD14" i="8"/>
  <c r="AE14" i="8" l="1"/>
  <c r="AF9" i="8"/>
  <c r="AF14" i="8" s="1"/>
  <c r="F6" i="1" l="1"/>
  <c r="F10" i="1"/>
  <c r="H31" i="4" l="1"/>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C24" i="8"/>
  <c r="D24" i="8"/>
  <c r="E24"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C26" i="8"/>
  <c r="D26" i="8"/>
  <c r="E26" i="8"/>
  <c r="F26" i="8"/>
  <c r="G26" i="8"/>
  <c r="H26" i="8"/>
  <c r="I26" i="8"/>
  <c r="J26" i="8"/>
  <c r="K26" i="8"/>
  <c r="L26" i="8"/>
  <c r="M26" i="8"/>
  <c r="N26" i="8"/>
  <c r="O26" i="8"/>
  <c r="P26" i="8"/>
  <c r="Q26" i="8"/>
  <c r="R26" i="8"/>
  <c r="S26" i="8"/>
  <c r="T26" i="8"/>
  <c r="U26" i="8"/>
  <c r="V26" i="8"/>
  <c r="W26" i="8"/>
  <c r="X26" i="8"/>
  <c r="Y26" i="8"/>
  <c r="Z26" i="8"/>
  <c r="AA26" i="8"/>
  <c r="AB26" i="8"/>
  <c r="AC26" i="8"/>
  <c r="AD26" i="8"/>
  <c r="AE26" i="8"/>
  <c r="AF26" i="8"/>
  <c r="C28" i="8"/>
  <c r="B8" i="6"/>
  <c r="C8" i="6"/>
  <c r="B9" i="6"/>
  <c r="C9" i="6"/>
  <c r="B10" i="6"/>
  <c r="B35" i="6"/>
  <c r="F35" i="6"/>
  <c r="B36" i="6"/>
  <c r="F36" i="6"/>
  <c r="B37" i="6"/>
  <c r="F37" i="6"/>
  <c r="B38" i="6"/>
  <c r="F38" i="6"/>
  <c r="B41" i="6"/>
  <c r="F41" i="6"/>
  <c r="F42" i="6"/>
  <c r="B46" i="6"/>
  <c r="F46" i="6"/>
  <c r="B47" i="6"/>
  <c r="F47" i="6"/>
  <c r="F50" i="6"/>
  <c r="B61" i="6"/>
  <c r="C61" i="6"/>
  <c r="B65" i="6"/>
  <c r="C65" i="6"/>
  <c r="B67" i="6"/>
  <c r="C72" i="6"/>
  <c r="C73" i="6"/>
  <c r="C74" i="6"/>
  <c r="D39" i="5"/>
  <c r="D40" i="5"/>
  <c r="D41" i="5"/>
  <c r="D42" i="5"/>
  <c r="D43" i="5"/>
  <c r="D50" i="5"/>
  <c r="D53" i="5"/>
  <c r="D54" i="5"/>
  <c r="D63" i="5"/>
  <c r="E69" i="5"/>
  <c r="D72" i="5"/>
  <c r="E74" i="5"/>
  <c r="D77" i="5"/>
  <c r="D80" i="5"/>
  <c r="E80" i="5"/>
  <c r="E81" i="5"/>
  <c r="E82" i="5"/>
  <c r="D83" i="5"/>
  <c r="E83" i="5"/>
  <c r="E84" i="5"/>
  <c r="E85" i="5"/>
  <c r="E86" i="5"/>
  <c r="E87" i="5"/>
  <c r="D88" i="5"/>
  <c r="E88" i="5"/>
  <c r="D89" i="5"/>
  <c r="E89" i="5"/>
  <c r="D92" i="5"/>
  <c r="E92" i="5"/>
  <c r="E93" i="5"/>
  <c r="E94" i="5"/>
  <c r="D95" i="5"/>
  <c r="E95" i="5"/>
  <c r="E96" i="5"/>
  <c r="D97" i="5"/>
  <c r="E97" i="5"/>
  <c r="E98" i="5"/>
  <c r="E99" i="5"/>
  <c r="D100" i="5"/>
  <c r="E100" i="5"/>
  <c r="D101" i="5"/>
  <c r="E101" i="5"/>
  <c r="C38" i="3"/>
  <c r="C43" i="3"/>
  <c r="D44" i="3"/>
  <c r="D45" i="3"/>
  <c r="C49" i="3"/>
  <c r="C50" i="3"/>
  <c r="C51" i="3"/>
  <c r="B25" i="4"/>
  <c r="D25" i="4"/>
  <c r="B28" i="4"/>
  <c r="D28" i="4"/>
  <c r="H30" i="4"/>
  <c r="L30" i="4"/>
  <c r="D31" i="4"/>
  <c r="H33" i="4"/>
  <c r="D34" i="4"/>
  <c r="H35" i="4"/>
  <c r="D36" i="4"/>
  <c r="H36" i="4"/>
  <c r="L36" i="4"/>
  <c r="D37" i="4"/>
  <c r="H37" i="4"/>
  <c r="I37" i="4"/>
  <c r="J37" i="4"/>
  <c r="K37" i="4"/>
  <c r="L37" i="4"/>
  <c r="D39" i="4"/>
  <c r="D40" i="4"/>
  <c r="B7" i="2"/>
  <c r="C7" i="2"/>
  <c r="D7" i="2"/>
  <c r="D8" i="2"/>
  <c r="D9" i="2"/>
  <c r="B10" i="2"/>
  <c r="C10" i="2"/>
  <c r="D10" i="2"/>
  <c r="D11" i="2"/>
  <c r="D12" i="2"/>
  <c r="B13" i="2"/>
  <c r="C13" i="2"/>
  <c r="D13" i="2"/>
  <c r="D14" i="2"/>
  <c r="D15" i="2"/>
  <c r="B17" i="2"/>
  <c r="C17" i="2"/>
  <c r="D17" i="2"/>
  <c r="B20" i="2"/>
  <c r="C20" i="2"/>
  <c r="D20" i="2"/>
  <c r="D21" i="2"/>
  <c r="D22" i="2"/>
  <c r="B23" i="2"/>
  <c r="C23" i="2"/>
  <c r="D23" i="2"/>
  <c r="D24" i="2"/>
  <c r="D25" i="2"/>
  <c r="B26" i="2"/>
  <c r="C26" i="2"/>
  <c r="D26" i="2"/>
  <c r="D27" i="2"/>
  <c r="D28" i="2"/>
  <c r="D29" i="2"/>
  <c r="B31" i="2"/>
  <c r="C31" i="2"/>
  <c r="D31" i="2"/>
  <c r="D34" i="2"/>
  <c r="D35" i="2"/>
  <c r="B36" i="2"/>
  <c r="C36" i="2"/>
  <c r="D36" i="2"/>
  <c r="D37" i="2"/>
  <c r="B39" i="2"/>
  <c r="C39" i="2"/>
  <c r="D39" i="2"/>
  <c r="H10" i="9"/>
  <c r="C41" i="9"/>
  <c r="C42" i="9"/>
  <c r="C43" i="9"/>
  <c r="C44" i="9"/>
  <c r="C50" i="9"/>
  <c r="C53" i="9"/>
  <c r="C54" i="9"/>
  <c r="C62" i="9"/>
  <c r="C72" i="9"/>
  <c r="C7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NYC</author>
  </authors>
  <commentList>
    <comment ref="H28" authorId="0" shapeId="0" xr:uid="{00000000-0006-0000-0600-000001000000}">
      <text>
        <r>
          <rPr>
            <b/>
            <sz val="8"/>
            <color indexed="81"/>
            <rFont val="Tahoma"/>
            <family val="2"/>
          </rPr>
          <t>NYC:</t>
        </r>
        <r>
          <rPr>
            <sz val="8"/>
            <color indexed="81"/>
            <rFont val="Tahoma"/>
            <family val="2"/>
          </rPr>
          <t xml:space="preserve">
If I:E ratio or 1st mort DSCR is more restrictive than combined DSCR, then you need to reduce 1st mort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Budd, William</author>
  </authors>
  <commentList>
    <comment ref="H14" authorId="0" shapeId="0" xr:uid="{00000000-0006-0000-0800-000001000000}">
      <text>
        <r>
          <rPr>
            <b/>
            <sz val="11"/>
            <color indexed="81"/>
            <rFont val="Tahoma"/>
            <family val="2"/>
          </rPr>
          <t xml:space="preserve">Note: </t>
        </r>
        <r>
          <rPr>
            <sz val="11"/>
            <color indexed="81"/>
            <rFont val="Tahoma"/>
            <family val="2"/>
          </rPr>
          <t xml:space="preserve"> Please refer to Qualified Allocation Plan (QAP) for current eligible basis  per unit cap.</t>
        </r>
      </text>
    </comment>
  </commentList>
</comments>
</file>

<file path=xl/sharedStrings.xml><?xml version="1.0" encoding="utf-8"?>
<sst xmlns="http://schemas.openxmlformats.org/spreadsheetml/2006/main" count="1306" uniqueCount="575">
  <si>
    <t># of Units</t>
  </si>
  <si>
    <t>Total</t>
  </si>
  <si>
    <t># of Spaces</t>
  </si>
  <si>
    <t>Monthly Rent</t>
  </si>
  <si>
    <t>Annual Income</t>
  </si>
  <si>
    <t>Total s.f.</t>
  </si>
  <si>
    <t>Annual Rent/s.f.</t>
  </si>
  <si>
    <t># units</t>
  </si>
  <si>
    <t>Laundry</t>
  </si>
  <si>
    <t>SOURCES AND USES</t>
  </si>
  <si>
    <t xml:space="preserve">         TOTAL SOURCES</t>
  </si>
  <si>
    <t xml:space="preserve">     Acquisition Cost</t>
  </si>
  <si>
    <t xml:space="preserve">     Construction Cost</t>
  </si>
  <si>
    <t xml:space="preserve">     Soft Cost</t>
  </si>
  <si>
    <t xml:space="preserve">     Developer's Fee</t>
  </si>
  <si>
    <t xml:space="preserve">          TOTAL USES</t>
  </si>
  <si>
    <t>Supplies/Cleaning/Exterminating</t>
  </si>
  <si>
    <t>per room</t>
  </si>
  <si>
    <t>per unit</t>
  </si>
  <si>
    <t>Painting</t>
  </si>
  <si>
    <t>Number of:</t>
  </si>
  <si>
    <t xml:space="preserve">Elevator Maintenance &amp; Repairs </t>
  </si>
  <si>
    <t xml:space="preserve">Fire and Liability Insurance </t>
  </si>
  <si>
    <t>M &amp; O Before Taxes and Debt Service</t>
  </si>
  <si>
    <t>Real estate taxes</t>
  </si>
  <si>
    <t>Total Expenses</t>
  </si>
  <si>
    <t>Determination of Maximum Insurable Mortgage</t>
  </si>
  <si>
    <t>Net Residential Income</t>
  </si>
  <si>
    <t>MIP</t>
  </si>
  <si>
    <t>Sum of above rates</t>
  </si>
  <si>
    <t xml:space="preserve">Ancillary/Laundry </t>
  </si>
  <si>
    <t>Total Supportable First Mortgage</t>
  </si>
  <si>
    <t>Total Combined Debt</t>
  </si>
  <si>
    <t>1st Loan</t>
  </si>
  <si>
    <t>2nd Loan</t>
  </si>
  <si>
    <t>Maintenance/Operating</t>
  </si>
  <si>
    <t xml:space="preserve">Real estate taxes </t>
  </si>
  <si>
    <t>Term</t>
  </si>
  <si>
    <t>NET OPERATING INCOME</t>
  </si>
  <si>
    <t>Balance</t>
  </si>
  <si>
    <t>Net Available @1.05 Income to Expense</t>
  </si>
  <si>
    <t>Debt Service</t>
  </si>
  <si>
    <t>/du</t>
  </si>
  <si>
    <t>Borrower's Legal</t>
  </si>
  <si>
    <t>Accounting</t>
  </si>
  <si>
    <t>Borrower's Engineer/Architect Fees</t>
  </si>
  <si>
    <t>Subtotal</t>
  </si>
  <si>
    <t>Negative Arbitrage</t>
  </si>
  <si>
    <t>HDC 2nd</t>
  </si>
  <si>
    <t>Bank Legal</t>
  </si>
  <si>
    <t>Survey</t>
  </si>
  <si>
    <t>Construction Interest</t>
  </si>
  <si>
    <t>Insurance</t>
  </si>
  <si>
    <t>Utilities</t>
  </si>
  <si>
    <t>Marketing</t>
  </si>
  <si>
    <t>Developer's Fee</t>
  </si>
  <si>
    <t>Total Development Cost:</t>
  </si>
  <si>
    <t>Studio</t>
  </si>
  <si>
    <t># of Rms/ DU</t>
  </si>
  <si>
    <t>per rm/du</t>
  </si>
  <si>
    <t>Units</t>
  </si>
  <si>
    <t>Rooms</t>
  </si>
  <si>
    <t>% Outstanding</t>
  </si>
  <si>
    <t>per elevator</t>
  </si>
  <si>
    <t xml:space="preserve">Net Available for Debt Service @ </t>
  </si>
  <si>
    <t>Deferred Developer's Fee</t>
  </si>
  <si>
    <t>Expenses</t>
  </si>
  <si>
    <t>Contingency</t>
  </si>
  <si>
    <t>Title Insurance</t>
  </si>
  <si>
    <t xml:space="preserve">per unit </t>
  </si>
  <si>
    <t>Bank's Engineer</t>
  </si>
  <si>
    <t>Costs of Issuance</t>
  </si>
  <si>
    <t>Super's Unit</t>
  </si>
  <si>
    <t>Permanent Sources</t>
  </si>
  <si>
    <t>Upfront L/C Fee</t>
  </si>
  <si>
    <t>Annual L/C Fee</t>
  </si>
  <si>
    <t>Income to Expense</t>
  </si>
  <si>
    <t>Construction Sources</t>
  </si>
  <si>
    <t>Soft Cost Contingency</t>
  </si>
  <si>
    <t>Security</t>
  </si>
  <si>
    <t>Commercial</t>
  </si>
  <si>
    <t>Year 1</t>
  </si>
  <si>
    <t>Year 2</t>
  </si>
  <si>
    <t>Year 3</t>
  </si>
  <si>
    <t>Year 4</t>
  </si>
  <si>
    <t>Year 5</t>
  </si>
  <si>
    <t>Year 6</t>
  </si>
  <si>
    <t>Year 7</t>
  </si>
  <si>
    <t>Year 8</t>
  </si>
  <si>
    <t>Year 9</t>
  </si>
  <si>
    <t>Year 10</t>
  </si>
  <si>
    <t>Total Income</t>
  </si>
  <si>
    <t>M&amp;O Expenses</t>
  </si>
  <si>
    <t>Building Reserve</t>
  </si>
  <si>
    <t>NOI</t>
  </si>
  <si>
    <t>Net Cash Flow</t>
  </si>
  <si>
    <t>Total Bond Amount</t>
  </si>
  <si>
    <t>Long Term Amount</t>
  </si>
  <si>
    <t>Short Term Amount</t>
  </si>
  <si>
    <t>Investment Spread</t>
  </si>
  <si>
    <t>porters</t>
  </si>
  <si>
    <t>/unit</t>
  </si>
  <si>
    <t>Community</t>
  </si>
  <si>
    <t>General Conditions</t>
  </si>
  <si>
    <t>Parking Income</t>
  </si>
  <si>
    <t>average per sf</t>
  </si>
  <si>
    <t>Total Soft Costs</t>
  </si>
  <si>
    <t>of soft costs</t>
  </si>
  <si>
    <t>Parking</t>
  </si>
  <si>
    <t>psf</t>
  </si>
  <si>
    <t>Ancillary Income</t>
  </si>
  <si>
    <t>Borings</t>
  </si>
  <si>
    <t xml:space="preserve"> </t>
  </si>
  <si>
    <t xml:space="preserve">  </t>
  </si>
  <si>
    <t>Year 11</t>
  </si>
  <si>
    <t>Year 12</t>
  </si>
  <si>
    <t>Interest Rate Cap (estimate)</t>
  </si>
  <si>
    <t>per DU</t>
  </si>
  <si>
    <t>% of total</t>
  </si>
  <si>
    <t>UNIT DISTRBUTION</t>
  </si>
  <si>
    <t># Rooms</t>
  </si>
  <si>
    <t>Commercial Income</t>
  </si>
  <si>
    <t>Total Commercial &amp; Ancillary  Income</t>
  </si>
  <si>
    <t>Residential Income</t>
  </si>
  <si>
    <t>Annual per unit</t>
  </si>
  <si>
    <t>TOTAL ANNUAL PROJECT INCOME</t>
  </si>
  <si>
    <t>DEVELOPMENT BUDGET</t>
  </si>
  <si>
    <t>SF DISTRBUTION</t>
  </si>
  <si>
    <t>NEGATIVE ARBITRAGE</t>
  </si>
  <si>
    <t>MAINTENANCE &amp; OPERATING EXPENSES</t>
  </si>
  <si>
    <t>F/T super(s)</t>
  </si>
  <si>
    <t>TOTAL ANNUAL PROJECT EXPENSES</t>
  </si>
  <si>
    <t>% of bond</t>
  </si>
  <si>
    <t>Bond Amount</t>
  </si>
  <si>
    <t>Months</t>
  </si>
  <si>
    <t>Years</t>
  </si>
  <si>
    <t>Construction term</t>
  </si>
  <si>
    <t xml:space="preserve">Rent-up &amp; conversion term </t>
  </si>
  <si>
    <t>Total term</t>
  </si>
  <si>
    <t>Variable Rate</t>
  </si>
  <si>
    <t>Amount</t>
  </si>
  <si>
    <t>Interest Rate</t>
  </si>
  <si>
    <t>Fixed Rate</t>
  </si>
  <si>
    <t>Term (years)</t>
  </si>
  <si>
    <t>Interest</t>
  </si>
  <si>
    <t>Total Fixed Rate Cons. Interest</t>
  </si>
  <si>
    <t xml:space="preserve"> HDC 1st</t>
  </si>
  <si>
    <t>Total Variable Rate Cons. Interest</t>
  </si>
  <si>
    <t>Interest Calculations</t>
  </si>
  <si>
    <t>Rate</t>
  </si>
  <si>
    <t>Construction Term (years)</t>
  </si>
  <si>
    <t>Investment Rate</t>
  </si>
  <si>
    <t>(for fixed-rate deals only)</t>
  </si>
  <si>
    <t xml:space="preserve">Less Residential Vacancies </t>
  </si>
  <si>
    <t xml:space="preserve">Commercial Income </t>
  </si>
  <si>
    <t>Community Space Income</t>
  </si>
  <si>
    <t>Less Parking Vacancies</t>
  </si>
  <si>
    <t>Less Ancillary/Laundry Vac</t>
  </si>
  <si>
    <t xml:space="preserve">Less Commercial Vac </t>
  </si>
  <si>
    <t>Net Comm &amp; Ancillary Income</t>
  </si>
  <si>
    <t>based on net available for debt service and land taxes</t>
  </si>
  <si>
    <t>Income</t>
  </si>
  <si>
    <t>Net Income</t>
  </si>
  <si>
    <t>Less Community Space Income</t>
  </si>
  <si>
    <t>Fixed Interest Rates</t>
  </si>
  <si>
    <t>Amt Amortized</t>
  </si>
  <si>
    <t>Balloon %</t>
  </si>
  <si>
    <t>Debt Coverage</t>
  </si>
  <si>
    <t>Yrs 1 - 30</t>
  </si>
  <si>
    <t>increases</t>
  </si>
  <si>
    <t>EFFECTIVE INCOMES</t>
  </si>
  <si>
    <t>EXPENSES</t>
  </si>
  <si>
    <t xml:space="preserve">Contractor Price </t>
  </si>
  <si>
    <t>Community Space</t>
  </si>
  <si>
    <t>Residential</t>
  </si>
  <si>
    <t>Housing/Development Consultant</t>
  </si>
  <si>
    <t xml:space="preserve">Appraisal </t>
  </si>
  <si>
    <t>Total Hard Cost</t>
  </si>
  <si>
    <t>Acquisition Cost</t>
  </si>
  <si>
    <t>Construction Cost</t>
  </si>
  <si>
    <t>Soft Cost</t>
  </si>
  <si>
    <t>Construction Monitor</t>
  </si>
  <si>
    <t>Permits and expediting</t>
  </si>
  <si>
    <t>of ERI</t>
  </si>
  <si>
    <t>Hard Costs</t>
  </si>
  <si>
    <t>Average Net SF</t>
  </si>
  <si>
    <t>per Unit</t>
  </si>
  <si>
    <t>Average Net SF per DU</t>
  </si>
  <si>
    <t>Environmental Phase I &amp; II</t>
  </si>
  <si>
    <t>Capitalized Operating Reserve</t>
  </si>
  <si>
    <t>Geotechnical</t>
  </si>
  <si>
    <t>Non Profit Sponsor</t>
  </si>
  <si>
    <t>CEQR</t>
  </si>
  <si>
    <t>Water/Sewer &amp; Real Estate Taxes</t>
  </si>
  <si>
    <t>Net Residential Square Feet</t>
  </si>
  <si>
    <t xml:space="preserve">Legal </t>
  </si>
  <si>
    <t>per project</t>
  </si>
  <si>
    <t>Assumed Subsidies</t>
  </si>
  <si>
    <t>Uses</t>
  </si>
  <si>
    <t>CONSTRUCTION INTEREST</t>
  </si>
  <si>
    <t>LETTER OF CREDIT AMOUNT</t>
  </si>
  <si>
    <t>Days Interest</t>
  </si>
  <si>
    <t>LC Amount</t>
  </si>
  <si>
    <t xml:space="preserve">Long Term </t>
  </si>
  <si>
    <t xml:space="preserve">Short Term </t>
  </si>
  <si>
    <t>COMMERICAL AND ANCILLARY INCOME</t>
  </si>
  <si>
    <t>MORTGAGE SIZING</t>
  </si>
  <si>
    <t>Variable Interest Rates</t>
  </si>
  <si>
    <t>Base Rate</t>
  </si>
  <si>
    <t>Underwriting Cushion</t>
  </si>
  <si>
    <t>LC Fees</t>
  </si>
  <si>
    <t>Trustee</t>
  </si>
  <si>
    <t>Remarketing</t>
  </si>
  <si>
    <t>Servicing</t>
  </si>
  <si>
    <t>Base Underwriting Rate</t>
  </si>
  <si>
    <t>Reserves and Contingency</t>
  </si>
  <si>
    <t>Total Cost</t>
  </si>
  <si>
    <t>Eligible Cost (Y/N)</t>
  </si>
  <si>
    <t>Eligible Amount</t>
  </si>
  <si>
    <t>N</t>
  </si>
  <si>
    <t>Y</t>
  </si>
  <si>
    <t>% TC Units</t>
  </si>
  <si>
    <t>% Non Residential Costs</t>
  </si>
  <si>
    <t>Aplicable Fraction</t>
  </si>
  <si>
    <t>Construction Bonds</t>
  </si>
  <si>
    <t>Annual Credit @</t>
  </si>
  <si>
    <t>Amount Raised per Credit @</t>
  </si>
  <si>
    <t>Amount Raised Total</t>
  </si>
  <si>
    <t>Eligible Basis with Boost</t>
  </si>
  <si>
    <t>Units:</t>
  </si>
  <si>
    <t>TAX CREDIT ANAYLSIS*</t>
  </si>
  <si>
    <t>*This is an estimate; for actual raise and calculation, defer to LIHTC Investor</t>
  </si>
  <si>
    <t xml:space="preserve"> Long Term</t>
  </si>
  <si>
    <t>Short Term</t>
  </si>
  <si>
    <t>LIHTC Application Fee</t>
  </si>
  <si>
    <t>Third Mortgage</t>
  </si>
  <si>
    <t>Fourth Mortgage</t>
  </si>
  <si>
    <t>3rd Loan</t>
  </si>
  <si>
    <t>4th Loan</t>
  </si>
  <si>
    <t>Mortgage Recorting Tax</t>
  </si>
  <si>
    <t>Social Service Reserve</t>
  </si>
  <si>
    <t>HPD Fee (if applicable)</t>
  </si>
  <si>
    <t>LIHTC Equity</t>
  </si>
  <si>
    <t>Accounting &amp; Cost Certification</t>
  </si>
  <si>
    <t>Additional Operating Reserve (if applicable)</t>
  </si>
  <si>
    <t>TAX EXEMPT</t>
  </si>
  <si>
    <t>Commercial Space</t>
  </si>
  <si>
    <t>Total Annual Rental Income upon occupancy</t>
  </si>
  <si>
    <t>First Mortgage (Lender:                                )</t>
  </si>
  <si>
    <t>Second Mortgage (Lender:                                )</t>
  </si>
  <si>
    <t>Third Mortgage (Lender:                                )</t>
  </si>
  <si>
    <t>Fourth Mortgage (Lender:                                )</t>
  </si>
  <si>
    <t>Developer Equity</t>
  </si>
  <si>
    <r>
      <t>Other source (Specify:</t>
    </r>
    <r>
      <rPr>
        <u/>
        <sz val="12"/>
        <color indexed="8"/>
        <rFont val="Arial"/>
        <family val="2"/>
      </rPr>
      <t xml:space="preserve">                                </t>
    </r>
    <r>
      <rPr>
        <sz val="12"/>
        <color indexed="8"/>
        <rFont val="Arial"/>
        <family val="2"/>
      </rPr>
      <t>)</t>
    </r>
  </si>
  <si>
    <t>PROJECT NAME</t>
  </si>
  <si>
    <t>TRADE ITEM</t>
  </si>
  <si>
    <t>$ AMOUNT</t>
  </si>
  <si>
    <t>Demolition</t>
  </si>
  <si>
    <t>Environmental Remediation</t>
  </si>
  <si>
    <t>Landscaping / Site Work</t>
  </si>
  <si>
    <t>Concrete</t>
  </si>
  <si>
    <t>6a</t>
  </si>
  <si>
    <t>Masonry, pointing, waterproofing, steam cleaning</t>
  </si>
  <si>
    <t>6b</t>
  </si>
  <si>
    <t>Carpentry, rough</t>
  </si>
  <si>
    <t>Carpentry, finished</t>
  </si>
  <si>
    <t>Metals, structural steel</t>
  </si>
  <si>
    <t>Roofing</t>
  </si>
  <si>
    <t>Insulation</t>
  </si>
  <si>
    <t>Doors, frames, hardware</t>
  </si>
  <si>
    <t>Windows and glazing</t>
  </si>
  <si>
    <t>Entrance doors</t>
  </si>
  <si>
    <t>Drywall and plastering</t>
  </si>
  <si>
    <t>Ceramic tile</t>
  </si>
  <si>
    <t>Finish flooring</t>
  </si>
  <si>
    <t>17a</t>
  </si>
  <si>
    <t>17b</t>
  </si>
  <si>
    <t>Kitchen cabinets</t>
  </si>
  <si>
    <t>Applicances, medicine cabinet</t>
  </si>
  <si>
    <t>Heating and ventilation</t>
  </si>
  <si>
    <t>Plumbing</t>
  </si>
  <si>
    <t>Electrical</t>
  </si>
  <si>
    <t>Other:__________________</t>
  </si>
  <si>
    <t>Overhead</t>
  </si>
  <si>
    <t>Profit</t>
  </si>
  <si>
    <t>These calculations must match the architectural plans included in the proposal.</t>
  </si>
  <si>
    <t xml:space="preserve">TOTAL BUILT FLOOR AREA (Gross Square Feet): </t>
  </si>
  <si>
    <t>1. Residential Space</t>
  </si>
  <si>
    <t>2. Unfinished Basement</t>
  </si>
  <si>
    <t>3. Cellar</t>
  </si>
  <si>
    <t>4. Attics</t>
  </si>
  <si>
    <t>5. Mechanical / Utility Areas</t>
  </si>
  <si>
    <t>6. Garages</t>
  </si>
  <si>
    <t>7. Commercial Space</t>
  </si>
  <si>
    <t>8. Community Space</t>
  </si>
  <si>
    <t>9. Parking</t>
  </si>
  <si>
    <t>10. Other ___________________</t>
  </si>
  <si>
    <t>11. Subtotal Gross Square Feet</t>
  </si>
  <si>
    <t>Component 1</t>
  </si>
  <si>
    <t>Component 2</t>
  </si>
  <si>
    <t>Component 3</t>
  </si>
  <si>
    <t>All</t>
  </si>
  <si>
    <t>TOTAL DEVELOPMENT COST</t>
  </si>
  <si>
    <t>(Specify)</t>
  </si>
  <si>
    <t>Components</t>
  </si>
  <si>
    <t>Acquisition</t>
  </si>
  <si>
    <t>Soft Costs</t>
  </si>
  <si>
    <t>Developers Fee</t>
  </si>
  <si>
    <t>Construction Sources of Financing</t>
  </si>
  <si>
    <t>Equity</t>
  </si>
  <si>
    <t>Lender / Source</t>
  </si>
  <si>
    <t xml:space="preserve">   Cash Equity</t>
  </si>
  <si>
    <t xml:space="preserve">   Other  Source</t>
  </si>
  <si>
    <t>Total Equity</t>
  </si>
  <si>
    <t>Loans / Grants</t>
  </si>
  <si>
    <t xml:space="preserve">   Bank Construction Loan</t>
  </si>
  <si>
    <t xml:space="preserve">   Other Loan / Grant</t>
  </si>
  <si>
    <t>Total Loans / Grants</t>
  </si>
  <si>
    <t>Total Construction Sources</t>
  </si>
  <si>
    <t>Permanent Sources of Financing</t>
  </si>
  <si>
    <t>Sales Proceeds</t>
  </si>
  <si>
    <t>Total Permanent Sources</t>
  </si>
  <si>
    <t>Total Residential Units</t>
  </si>
  <si>
    <t>Gross Square Footage</t>
  </si>
  <si>
    <r>
      <t xml:space="preserve">Please provide the information below for the </t>
    </r>
    <r>
      <rPr>
        <b/>
        <u/>
        <sz val="10"/>
        <rFont val="Arial"/>
        <family val="2"/>
      </rPr>
      <t>entire project,</t>
    </r>
    <r>
      <rPr>
        <b/>
        <sz val="10"/>
        <rFont val="Arial"/>
        <family val="2"/>
      </rPr>
      <t xml:space="preserve"> including all separately financed rental and homeownership components.</t>
    </r>
  </si>
  <si>
    <r>
      <t xml:space="preserve">   Bank 1</t>
    </r>
    <r>
      <rPr>
        <vertAlign val="superscript"/>
        <sz val="10"/>
        <rFont val="Arial"/>
        <family val="2"/>
      </rPr>
      <t>st</t>
    </r>
    <r>
      <rPr>
        <sz val="10"/>
        <rFont val="Arial"/>
        <family val="2"/>
      </rPr>
      <t xml:space="preserve"> Mortgage</t>
    </r>
  </si>
  <si>
    <r>
      <t xml:space="preserve">   2</t>
    </r>
    <r>
      <rPr>
        <vertAlign val="superscript"/>
        <sz val="10"/>
        <rFont val="Arial"/>
        <family val="2"/>
      </rPr>
      <t>nd</t>
    </r>
    <r>
      <rPr>
        <sz val="10"/>
        <rFont val="Arial"/>
        <family val="2"/>
      </rPr>
      <t xml:space="preserve"> Mortgage</t>
    </r>
  </si>
  <si>
    <t>Railroad trench deck (Site B only)</t>
  </si>
  <si>
    <t>Source:</t>
  </si>
  <si>
    <t>2nd Construction</t>
  </si>
  <si>
    <t>3rd Construction</t>
  </si>
  <si>
    <t>4th Construction</t>
  </si>
  <si>
    <t>1st - Short Term</t>
  </si>
  <si>
    <t>1st - Long Term</t>
  </si>
  <si>
    <t xml:space="preserve">SUBTOTAL </t>
  </si>
  <si>
    <t xml:space="preserve">GRAND TOTAL </t>
  </si>
  <si>
    <t>Developer Costs</t>
  </si>
  <si>
    <t>Second Mortgage</t>
  </si>
  <si>
    <t>Family of Four</t>
  </si>
  <si>
    <t>2 BR FMR</t>
  </si>
  <si>
    <t>Gas Allowance</t>
  </si>
  <si>
    <t>2 rooms</t>
  </si>
  <si>
    <t>studio</t>
  </si>
  <si>
    <t>3 rooms</t>
  </si>
  <si>
    <t>1 BR</t>
  </si>
  <si>
    <t>4 rooms</t>
  </si>
  <si>
    <t>2 BR</t>
  </si>
  <si>
    <t>5 rooms</t>
  </si>
  <si>
    <t>3 BR</t>
  </si>
  <si>
    <t>HH size</t>
  </si>
  <si>
    <t>HH factor</t>
  </si>
  <si>
    <t>max gross monthly rent</t>
  </si>
  <si>
    <t>rent less electricity</t>
  </si>
  <si>
    <t>max net monthly rent</t>
  </si>
  <si>
    <t>RESIDENTIAL INCOME</t>
  </si>
  <si>
    <t>Number of units</t>
  </si>
  <si>
    <t>Annual Rent</t>
  </si>
  <si>
    <t>HUD IL</t>
  </si>
  <si>
    <t>Unit size</t>
  </si>
  <si>
    <t>Total units</t>
  </si>
  <si>
    <t>annual + fringe</t>
  </si>
  <si>
    <t>Repairs/Replacement</t>
  </si>
  <si>
    <t>Other Expenses(Specify:_________)</t>
  </si>
  <si>
    <t>+___ bps cushion</t>
  </si>
  <si>
    <t xml:space="preserve">Fixed Rates </t>
  </si>
  <si>
    <t>SIFMA</t>
  </si>
  <si>
    <t xml:space="preserve">Carrying Costs </t>
  </si>
  <si>
    <t>(change link if assuming variable rate)</t>
  </si>
  <si>
    <t>Financing Fees (Please maintain links to original calculations and note any changes)</t>
  </si>
  <si>
    <t>HDC Fee (if applicable)</t>
  </si>
  <si>
    <t>HH income</t>
  </si>
  <si>
    <r>
      <t>Note:</t>
    </r>
    <r>
      <rPr>
        <sz val="12"/>
        <rFont val="Arial"/>
        <family val="2"/>
      </rPr>
      <t xml:space="preserve"> For market rate units, please hard code rents</t>
    </r>
  </si>
  <si>
    <t>Other (Specify:_________________)</t>
  </si>
  <si>
    <t>1 Bedroom</t>
  </si>
  <si>
    <t>2 Bedroom</t>
  </si>
  <si>
    <t>3 Bedroom</t>
  </si>
  <si>
    <t>Market Rate</t>
  </si>
  <si>
    <t>Instructions</t>
  </si>
  <si>
    <t xml:space="preserve">Applicants should provide separate pro formas for each component of a project that will be separately financed. </t>
  </si>
  <si>
    <t>Please complete this pro forma for the rental component of your project.  Fill in the cells shaded blue.  Keep cells linked and maintain calculations.  If you modify given assumptions, please clearly note the changes.</t>
  </si>
  <si>
    <t>2nd Loan Constant</t>
  </si>
  <si>
    <t>3rd Loan Constant</t>
  </si>
  <si>
    <t>4th Loan Constant</t>
  </si>
  <si>
    <t>Enter 1st Mortgage Amount from Cell H30 here</t>
  </si>
  <si>
    <t>of TDC less Dev Fee</t>
  </si>
  <si>
    <t>of LOC amt</t>
  </si>
  <si>
    <t xml:space="preserve">of LOC amt </t>
  </si>
  <si>
    <t>of HDC cons 1st</t>
  </si>
  <si>
    <t>Site:</t>
  </si>
  <si>
    <t>Combined DSCR</t>
  </si>
  <si>
    <t>1st Mort DSCR</t>
  </si>
  <si>
    <t>1st Loan Reduction</t>
  </si>
  <si>
    <t>utility allowance</t>
  </si>
  <si>
    <t>Number of TC Units</t>
  </si>
  <si>
    <t>Residential GSF</t>
  </si>
  <si>
    <t>Commercial GSF</t>
  </si>
  <si>
    <t>Community GSF</t>
  </si>
  <si>
    <t>Parking GSF</t>
  </si>
  <si>
    <t>Efficiency</t>
  </si>
  <si>
    <t>NSF</t>
  </si>
  <si>
    <t>Total Project NSF</t>
  </si>
  <si>
    <t>GSF</t>
  </si>
  <si>
    <t>Total Project GSF</t>
  </si>
  <si>
    <t>Pro Forma Assumptions</t>
  </si>
  <si>
    <t>Total Conventional Debt</t>
  </si>
  <si>
    <t>Total Volume Cap Bonds</t>
  </si>
  <si>
    <t>Total Recycled Bonds</t>
  </si>
  <si>
    <t>Total Taxable Bonds</t>
  </si>
  <si>
    <t>Total Residential Hard Costs PSF</t>
  </si>
  <si>
    <t>Total Commercial Hard Costs PSF</t>
  </si>
  <si>
    <t>Total Community Hard Costs PSF</t>
  </si>
  <si>
    <t>Total Parking Hard Costs PSF</t>
  </si>
  <si>
    <t>Total Other Hard Costs PSF</t>
  </si>
  <si>
    <t>Total Hard Costs w/Contingency PSF</t>
  </si>
  <si>
    <t>Source Additional Info</t>
  </si>
  <si>
    <t>% of Developer Fee Deferred during Construction</t>
  </si>
  <si>
    <t>Costs</t>
  </si>
  <si>
    <t>LOC Ongoing Fee % (if any)</t>
  </si>
  <si>
    <t>LOC Upfront Fee % (if any)</t>
  </si>
  <si>
    <t>Soft Costs as a % of TDC</t>
  </si>
  <si>
    <t>Developer Fee as a % of TDC</t>
  </si>
  <si>
    <t>Total Construction Period (months)</t>
  </si>
  <si>
    <t>Other Assumptions</t>
  </si>
  <si>
    <t>Total building stories</t>
  </si>
  <si>
    <t>Total Parking Spaces</t>
  </si>
  <si>
    <t>Cash Flow Income Inflator %</t>
  </si>
  <si>
    <t>Cash Flow Expense Inflator %</t>
  </si>
  <si>
    <t>Units &amp; Income</t>
  </si>
  <si>
    <t>% of Units with 2 or more bedrooms</t>
  </si>
  <si>
    <t>LIHTC Raise (e.g.- $0.00)</t>
  </si>
  <si>
    <t>Assumed LIHTC Rate</t>
  </si>
  <si>
    <t>Total Permanent Period (years)</t>
  </si>
  <si>
    <t>Senior Loan Construction Interest Rate %</t>
  </si>
  <si>
    <t>Senior Loan Permanent All-in Interest Rate %</t>
  </si>
  <si>
    <t>Assumed Permanent Enhancement Type (text)</t>
  </si>
  <si>
    <t>% of Units with rents set at or below 30% AMI</t>
  </si>
  <si>
    <t>% of Units with rents set at 31-40% AMI</t>
  </si>
  <si>
    <t>% of Units with rents set at 41-50% AMI</t>
  </si>
  <si>
    <t>% of Units with rents set at 51-60% AMI</t>
  </si>
  <si>
    <t>% of Units with rents set at 61-70% AMI</t>
  </si>
  <si>
    <t>% of Units with rents set at 71-80% AMI</t>
  </si>
  <si>
    <t>% of Units with rents set at 81-90% AMI</t>
  </si>
  <si>
    <t>% of Units with rents set at 91% of AMI or above</t>
  </si>
  <si>
    <t># of Super Units</t>
  </si>
  <si>
    <t>Total Rental Units (non inc. Super Units)</t>
  </si>
  <si>
    <t xml:space="preserve">% of Units with market rents </t>
  </si>
  <si>
    <t>% of affordable Units</t>
  </si>
  <si>
    <t>Non-Residential Income as % of Total</t>
  </si>
  <si>
    <t>Commercial Income PSF</t>
  </si>
  <si>
    <t>Parking Income Per Legal Space</t>
  </si>
  <si>
    <t>Community Income PSF</t>
  </si>
  <si>
    <t>Please feel free to list any other critical assumptions not included below:</t>
  </si>
  <si>
    <t xml:space="preserve">% of Units with homeless set-aside </t>
  </si>
  <si>
    <t>Parking Type (i.e.- surface, covered, garage)</t>
  </si>
  <si>
    <t xml:space="preserve">***Please do not alter worksheet placement/order of cells </t>
  </si>
  <si>
    <t>Operating Assumptions</t>
  </si>
  <si>
    <t>Total M&amp;O Per Unit</t>
  </si>
  <si>
    <t>Total Taxes Per Unit</t>
  </si>
  <si>
    <t xml:space="preserve">Tax Abatement Type </t>
  </si>
  <si>
    <t>NY State Bond Issuance Charge</t>
  </si>
  <si>
    <t>Assumed Construction Enhancement Type (text)</t>
  </si>
  <si>
    <t>Total HPD Subsidy Per Unit</t>
  </si>
  <si>
    <t>Total HDC Subsidy Per Unit</t>
  </si>
  <si>
    <t>Total Other Source Subsidy Per Unit</t>
  </si>
  <si>
    <t>Year 13</t>
  </si>
  <si>
    <t>Year 14</t>
  </si>
  <si>
    <t>Year 15</t>
  </si>
  <si>
    <t>Net Cash Flow in 15 years</t>
  </si>
  <si>
    <t>Tax Exemption/Abatement Fees &amp; Consultant</t>
  </si>
  <si>
    <t>Eligible Basis per TC Unit</t>
  </si>
  <si>
    <t>Eligible Basis</t>
  </si>
  <si>
    <t>Gap/(Surplus)</t>
  </si>
  <si>
    <t>Parking (Monthly Parkers)</t>
  </si>
  <si>
    <t>Total Parking</t>
  </si>
  <si>
    <t>Transient Parkers</t>
  </si>
  <si>
    <t>Electricity (No Electric Stove) Allowance</t>
  </si>
  <si>
    <t>Affordability Summary</t>
  </si>
  <si>
    <t>Shelter Rent</t>
  </si>
  <si>
    <t>Our Space With Shelter Rents</t>
  </si>
  <si>
    <t>Year 16</t>
  </si>
  <si>
    <t>Year 17</t>
  </si>
  <si>
    <t>Year 18</t>
  </si>
  <si>
    <t>Year 19</t>
  </si>
  <si>
    <t>Year 20</t>
  </si>
  <si>
    <t>Year 21</t>
  </si>
  <si>
    <t>Year 22</t>
  </si>
  <si>
    <t>Year 23</t>
  </si>
  <si>
    <t>Year 24</t>
  </si>
  <si>
    <t>Year 25</t>
  </si>
  <si>
    <t>Year 26</t>
  </si>
  <si>
    <t>Year 27</t>
  </si>
  <si>
    <t>Year 28</t>
  </si>
  <si>
    <t>Year 29</t>
  </si>
  <si>
    <t>Year 30</t>
  </si>
  <si>
    <t>Select Utility Allowance</t>
  </si>
  <si>
    <t>Electricity (WITH Electric Stove) Allowance</t>
  </si>
  <si>
    <t>No Utilities</t>
  </si>
  <si>
    <t>Electricity &amp; Gas Allowance</t>
  </si>
  <si>
    <t>Tax Credit Monitoring</t>
  </si>
  <si>
    <t>per building</t>
  </si>
  <si>
    <t>Non-Union</t>
  </si>
  <si>
    <t>F/T Super</t>
  </si>
  <si>
    <t>*Required: 1 F/T staff per 65 units</t>
  </si>
  <si>
    <t>F/T Porter</t>
  </si>
  <si>
    <t xml:space="preserve">Applicants must provide these forms in Excel file format on a thumb drive in addition to the hard copies submitted in the binder. </t>
  </si>
  <si>
    <t>Our Space</t>
  </si>
  <si>
    <t>Management Fee</t>
  </si>
  <si>
    <t>Accessory Tenant Common Areas</t>
  </si>
  <si>
    <t xml:space="preserve">Project Name: </t>
  </si>
  <si>
    <t xml:space="preserve">Form G: Financing Submission Template </t>
  </si>
  <si>
    <t>Electric with Electric Stove</t>
  </si>
  <si>
    <t>Electricity Allowance</t>
  </si>
  <si>
    <t>Total (Electric plus Gas)</t>
  </si>
  <si>
    <t>for a family of four</t>
  </si>
  <si>
    <t>Rent Burden</t>
  </si>
  <si>
    <t>4 BR</t>
  </si>
  <si>
    <t>5 BR</t>
  </si>
  <si>
    <t>As of:</t>
  </si>
  <si>
    <t>per NYCHA (all Unit Types)</t>
  </si>
  <si>
    <t>PROJECT TYPE (select below)</t>
  </si>
  <si>
    <t>New Construction/Special Needs</t>
  </si>
  <si>
    <t>***0.6 HH Factor for New Construction/Special Needs only applies to projects that comply with HPD’s new Design Guidelines***</t>
  </si>
  <si>
    <t>of AMI</t>
  </si>
  <si>
    <t>Tenant Pays</t>
  </si>
  <si>
    <t>Electric (No Electric Stove)</t>
  </si>
  <si>
    <t>Gas Only</t>
  </si>
  <si>
    <t>Gas &amp; Electricity</t>
  </si>
  <si>
    <t>HH Size</t>
  </si>
  <si>
    <t>HH Factor</t>
  </si>
  <si>
    <t>Limit</t>
  </si>
  <si>
    <t>2023 HUD Income Limits</t>
  </si>
  <si>
    <t>Hot Water</t>
  </si>
  <si>
    <t>Electric VRF</t>
  </si>
  <si>
    <t>2024 HDC Maintenance &amp; Operating Standards for New Construction</t>
  </si>
  <si>
    <t>Benchmarking Expense</t>
  </si>
  <si>
    <t>ADMINISTRATIVE</t>
  </si>
  <si>
    <t>UTILITIES</t>
  </si>
  <si>
    <t>Heating</t>
  </si>
  <si>
    <t>Electric (common areas)</t>
  </si>
  <si>
    <t>Water &amp; Sewer</t>
  </si>
  <si>
    <t>Broadband</t>
  </si>
  <si>
    <t>MAINTENANCE</t>
  </si>
  <si>
    <t>Super &amp; Maintenance Salaries</t>
  </si>
  <si>
    <t xml:space="preserve">Building Reserve </t>
  </si>
  <si>
    <t>OTHER</t>
  </si>
  <si>
    <t>Packaged Terminal Heat Pump (PTHP)</t>
  </si>
  <si>
    <t>Electric VRF + Passive House</t>
  </si>
  <si>
    <t>PTHP + Passive House</t>
  </si>
  <si>
    <t>Gas</t>
  </si>
  <si>
    <t>Electric Heat Pump</t>
  </si>
  <si>
    <t>See table at right</t>
  </si>
  <si>
    <t>Obtain quote</t>
  </si>
  <si>
    <t>Per Room</t>
  </si>
  <si>
    <t>Per Unit</t>
  </si>
  <si>
    <t>Prevailing Wage</t>
  </si>
  <si>
    <t>Super &amp; Maintenance (with multiplier)</t>
  </si>
  <si>
    <t>HDC Servicing Fee</t>
  </si>
  <si>
    <t>of perm loan</t>
  </si>
  <si>
    <r>
      <rPr>
        <b/>
        <sz val="10"/>
        <rFont val="Arial"/>
        <family val="2"/>
      </rPr>
      <t>HPD 9%</t>
    </r>
    <r>
      <rPr>
        <sz val="10"/>
        <rFont val="Arial"/>
        <family val="2"/>
      </rPr>
      <t>: $25 per Tax Credit Unit</t>
    </r>
  </si>
  <si>
    <t>6.5% (8% for SHLP)</t>
  </si>
  <si>
    <t>2024 Area Median Income</t>
  </si>
  <si>
    <r>
      <t xml:space="preserve">***see </t>
    </r>
    <r>
      <rPr>
        <b/>
        <i/>
        <sz val="12"/>
        <rFont val="Arial"/>
        <family val="2"/>
      </rPr>
      <t xml:space="preserve">Expanded UA </t>
    </r>
    <r>
      <rPr>
        <i/>
        <sz val="12"/>
        <rFont val="Arial"/>
        <family val="2"/>
      </rPr>
      <t xml:space="preserve">tab for split system heat pump allowances, etc. </t>
    </r>
  </si>
  <si>
    <t>UNIT SIZE STANDARDS</t>
  </si>
  <si>
    <t>Max HPD Unit Standard</t>
  </si>
  <si>
    <t>Typical Market Unit</t>
  </si>
  <si>
    <t>Note: Income limit formulas are different from previous years due to modifications to HUD's calculations.</t>
  </si>
  <si>
    <t>Rent Per SF</t>
  </si>
  <si>
    <t>HPD Standard</t>
  </si>
  <si>
    <t>Typical Market</t>
  </si>
  <si>
    <t>N/A</t>
  </si>
  <si>
    <t>per unit/building</t>
  </si>
  <si>
    <r>
      <rPr>
        <b/>
        <sz val="10"/>
        <rFont val="Arial"/>
        <family val="2"/>
      </rPr>
      <t>4% with HDC</t>
    </r>
    <r>
      <rPr>
        <sz val="10"/>
        <rFont val="Arial"/>
        <family val="2"/>
      </rPr>
      <t>: Per Building: $100 + Unit Fee of 0.75% of Tax Credit Rents. Unit Fee capped at $12,600 if ≤150 units, or $17,500 if &gt;150 units</t>
    </r>
  </si>
  <si>
    <t>Projects with Gas Hot Water</t>
  </si>
  <si>
    <t>Projects with Heat Pump Hot Water</t>
  </si>
  <si>
    <t>of senior perm loan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</si>
</sst>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6" formatCode="&quot;$&quot;#,##0_);[Red]\(&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0_)"/>
    <numFmt numFmtId="165" formatCode="mm/dd/yy_)"/>
    <numFmt numFmtId="166" formatCode="dd\-mmm\-yy_)"/>
    <numFmt numFmtId="167" formatCode="0.000000%"/>
    <numFmt numFmtId="168" formatCode="0.0%"/>
    <numFmt numFmtId="169" formatCode="_(&quot;$&quot;* #,##0_);_(&quot;$&quot;* \(#,##0\);_(&quot;$&quot;* &quot;-&quot;??_);_(@_)"/>
    <numFmt numFmtId="170" formatCode="&quot;$&quot;#,##0"/>
    <numFmt numFmtId="171" formatCode="0.0"/>
    <numFmt numFmtId="172" formatCode="0.000%"/>
    <numFmt numFmtId="173" formatCode="_(* #,##0_);_(* \(#,##0\);_(* &quot;-&quot;??_);_(@_)"/>
    <numFmt numFmtId="174" formatCode="#,##0.000_);\(#,##0.000\)"/>
    <numFmt numFmtId="175" formatCode="&quot;$&quot;#,##0.00"/>
    <numFmt numFmtId="176" formatCode="&quot;Income Limits &amp; Rents at &quot;0%\ &quot;AMI&quot;"/>
    <numFmt numFmtId="177" formatCode="&quot;Income Limits &amp; Rents at &quot;0%\ &quot;of AMI&quot;"/>
    <numFmt numFmtId="178" formatCode="0%\ &quot;of AMI&quot;"/>
  </numFmts>
  <fonts count="59">
    <font>
      <sz val="12"/>
      <name val="Arial"/>
    </font>
    <font>
      <sz val="11"/>
      <color theme="1"/>
      <name val="Calibri"/>
      <family val="2"/>
      <scheme val="minor"/>
    </font>
    <font>
      <sz val="11"/>
      <color theme="1"/>
      <name val="Calibri"/>
      <family val="2"/>
      <scheme val="minor"/>
    </font>
    <font>
      <sz val="10"/>
      <name val="Arial"/>
      <family val="2"/>
    </font>
    <font>
      <sz val="10"/>
      <name val="Arial"/>
      <family val="2"/>
    </font>
    <font>
      <b/>
      <sz val="12"/>
      <color indexed="8"/>
      <name val="Arial"/>
      <family val="2"/>
    </font>
    <font>
      <sz val="12"/>
      <color indexed="8"/>
      <name val="Arial"/>
      <family val="2"/>
    </font>
    <font>
      <b/>
      <sz val="18"/>
      <color indexed="8"/>
      <name val="Arial"/>
      <family val="2"/>
    </font>
    <font>
      <b/>
      <u/>
      <sz val="12"/>
      <color indexed="8"/>
      <name val="Arial"/>
      <family val="2"/>
    </font>
    <font>
      <b/>
      <u/>
      <sz val="18"/>
      <color indexed="8"/>
      <name val="Arial"/>
      <family val="2"/>
    </font>
    <font>
      <sz val="12"/>
      <color indexed="8"/>
      <name val="Arial"/>
      <family val="2"/>
    </font>
    <font>
      <sz val="10"/>
      <color indexed="8"/>
      <name val="Arial"/>
      <family val="2"/>
    </font>
    <font>
      <sz val="10"/>
      <color indexed="12"/>
      <name val="Arial"/>
      <family val="2"/>
    </font>
    <font>
      <b/>
      <sz val="12"/>
      <color indexed="8"/>
      <name val="SWISS"/>
      <family val="2"/>
    </font>
    <font>
      <sz val="12"/>
      <color indexed="8"/>
      <name val="SWISS"/>
      <family val="2"/>
    </font>
    <font>
      <sz val="10"/>
      <color indexed="8"/>
      <name val="SWISS"/>
      <family val="2"/>
    </font>
    <font>
      <b/>
      <sz val="12"/>
      <name val="Arial"/>
      <family val="2"/>
    </font>
    <font>
      <sz val="10"/>
      <name val="Arial MT"/>
    </font>
    <font>
      <sz val="12"/>
      <name val="Arial"/>
      <family val="2"/>
    </font>
    <font>
      <u/>
      <sz val="12"/>
      <color indexed="8"/>
      <name val="Arial"/>
      <family val="2"/>
    </font>
    <font>
      <sz val="9"/>
      <color indexed="8"/>
      <name val="Arial"/>
      <family val="2"/>
    </font>
    <font>
      <b/>
      <sz val="10"/>
      <color indexed="8"/>
      <name val="Arial"/>
      <family val="2"/>
    </font>
    <font>
      <sz val="12"/>
      <name val="Arial"/>
      <family val="2"/>
    </font>
    <font>
      <sz val="10"/>
      <name val="Arial"/>
      <family val="2"/>
    </font>
    <font>
      <b/>
      <sz val="12"/>
      <color indexed="10"/>
      <name val="Arial"/>
      <family val="2"/>
    </font>
    <font>
      <sz val="10"/>
      <color indexed="8"/>
      <name val="Arial"/>
      <family val="2"/>
    </font>
    <font>
      <u/>
      <sz val="12"/>
      <name val="Arial"/>
      <family val="2"/>
    </font>
    <font>
      <i/>
      <sz val="12"/>
      <color indexed="8"/>
      <name val="Arial"/>
      <family val="2"/>
    </font>
    <font>
      <u val="singleAccounting"/>
      <sz val="12"/>
      <color indexed="8"/>
      <name val="Arial"/>
      <family val="2"/>
    </font>
    <font>
      <sz val="8"/>
      <name val="Arial"/>
      <family val="2"/>
    </font>
    <font>
      <b/>
      <i/>
      <u/>
      <sz val="12"/>
      <color indexed="8"/>
      <name val="Arial"/>
      <family val="2"/>
    </font>
    <font>
      <b/>
      <i/>
      <sz val="12"/>
      <color indexed="8"/>
      <name val="Arial"/>
      <family val="2"/>
    </font>
    <font>
      <b/>
      <i/>
      <sz val="12"/>
      <name val="Arial"/>
      <family val="2"/>
    </font>
    <font>
      <sz val="8"/>
      <name val="Arial"/>
      <family val="2"/>
    </font>
    <font>
      <i/>
      <sz val="12"/>
      <name val="Arial"/>
      <family val="2"/>
    </font>
    <font>
      <b/>
      <sz val="11"/>
      <color indexed="9"/>
      <name val="Arial"/>
      <family val="2"/>
    </font>
    <font>
      <b/>
      <sz val="10"/>
      <name val="Arial"/>
      <family val="2"/>
    </font>
    <font>
      <b/>
      <u/>
      <sz val="10"/>
      <name val="Arial"/>
      <family val="2"/>
    </font>
    <font>
      <vertAlign val="superscript"/>
      <sz val="10"/>
      <name val="Arial"/>
      <family val="2"/>
    </font>
    <font>
      <b/>
      <sz val="11"/>
      <name val="Arial"/>
      <family val="2"/>
    </font>
    <font>
      <b/>
      <u/>
      <sz val="12"/>
      <name val="Arial"/>
      <family val="2"/>
    </font>
    <font>
      <sz val="12"/>
      <color indexed="10"/>
      <name val="Arial"/>
      <family val="2"/>
    </font>
    <font>
      <u/>
      <sz val="12"/>
      <name val="Arial"/>
      <family val="2"/>
    </font>
    <font>
      <sz val="8"/>
      <color indexed="81"/>
      <name val="Tahoma"/>
      <family val="2"/>
    </font>
    <font>
      <b/>
      <sz val="8"/>
      <color indexed="81"/>
      <name val="Tahoma"/>
      <family val="2"/>
    </font>
    <font>
      <sz val="10"/>
      <color indexed="18"/>
      <name val="Arial"/>
      <family val="2"/>
    </font>
    <font>
      <sz val="11"/>
      <name val="Arial"/>
      <family val="2"/>
    </font>
    <font>
      <b/>
      <sz val="11"/>
      <color indexed="81"/>
      <name val="Tahoma"/>
      <family val="2"/>
    </font>
    <font>
      <sz val="11"/>
      <color indexed="81"/>
      <name val="Tahoma"/>
      <family val="2"/>
    </font>
    <font>
      <sz val="12"/>
      <color theme="0"/>
      <name val="Arial"/>
      <family val="2"/>
    </font>
    <font>
      <sz val="12"/>
      <color theme="1"/>
      <name val="Arial"/>
      <family val="2"/>
    </font>
    <font>
      <b/>
      <sz val="12"/>
      <color theme="3"/>
      <name val="Arial"/>
      <family val="2"/>
    </font>
    <font>
      <b/>
      <sz val="12"/>
      <color theme="1"/>
      <name val="Arial"/>
      <family val="2"/>
    </font>
    <font>
      <i/>
      <u/>
      <sz val="12"/>
      <color indexed="8"/>
      <name val="Arial"/>
      <family val="2"/>
    </font>
    <font>
      <sz val="12"/>
      <name val="Calibri"/>
      <family val="2"/>
    </font>
    <font>
      <i/>
      <sz val="12"/>
      <color rgb="FFFF0000"/>
      <name val="Arial"/>
      <family val="2"/>
    </font>
    <font>
      <b/>
      <sz val="12"/>
      <color theme="0"/>
      <name val="Arial"/>
      <family val="2"/>
    </font>
    <font>
      <b/>
      <sz val="12"/>
      <color rgb="FFC00000"/>
      <name val="Arial"/>
      <family val="2"/>
    </font>
    <font>
      <sz val="10.5"/>
      <name val="Arial"/>
      <family val="2"/>
    </font>
  </fonts>
  <fills count="13">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0"/>
        <bgColor indexed="64"/>
      </patternFill>
    </fill>
    <fill>
      <patternFill patternType="solid">
        <fgColor rgb="FFFFFF99"/>
        <bgColor indexed="64"/>
      </patternFill>
    </fill>
  </fills>
  <borders count="95">
    <border>
      <left/>
      <right/>
      <top/>
      <bottom/>
      <diagonal/>
    </border>
    <border>
      <left/>
      <right style="thin">
        <color indexed="8"/>
      </right>
      <top/>
      <bottom/>
      <diagonal/>
    </border>
    <border>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right/>
      <top/>
      <bottom style="thin">
        <color indexed="8"/>
      </bottom>
      <diagonal/>
    </border>
    <border>
      <left/>
      <right/>
      <top/>
      <bottom style="double">
        <color indexed="8"/>
      </bottom>
      <diagonal/>
    </border>
    <border>
      <left/>
      <right style="thin">
        <color indexed="8"/>
      </right>
      <top style="double">
        <color indexed="8"/>
      </top>
      <bottom/>
      <diagonal/>
    </border>
    <border>
      <left style="thin">
        <color indexed="8"/>
      </left>
      <right/>
      <top style="double">
        <color indexed="8"/>
      </top>
      <bottom/>
      <diagonal/>
    </border>
    <border>
      <left/>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double">
        <color indexed="8"/>
      </top>
      <bottom/>
      <diagonal/>
    </border>
    <border>
      <left/>
      <right style="thin">
        <color indexed="64"/>
      </right>
      <top/>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theme="1"/>
      </left>
      <right style="thin">
        <color indexed="8"/>
      </right>
      <top/>
      <bottom/>
      <diagonal/>
    </border>
    <border>
      <left style="thin">
        <color theme="1"/>
      </left>
      <right/>
      <top style="double">
        <color theme="1"/>
      </top>
      <bottom/>
      <diagonal/>
    </border>
    <border>
      <left/>
      <right/>
      <top style="double">
        <color theme="1"/>
      </top>
      <bottom/>
      <diagonal/>
    </border>
    <border>
      <left/>
      <right style="thin">
        <color theme="1"/>
      </right>
      <top style="double">
        <color theme="1"/>
      </top>
      <bottom/>
      <diagonal/>
    </border>
    <border>
      <left style="thin">
        <color theme="1"/>
      </left>
      <right/>
      <top/>
      <bottom/>
      <diagonal/>
    </border>
    <border>
      <left style="thin">
        <color theme="1"/>
      </left>
      <right/>
      <top/>
      <bottom style="thin">
        <color theme="1"/>
      </bottom>
      <diagonal/>
    </border>
    <border>
      <left style="thin">
        <color theme="1"/>
      </left>
      <right style="dashed">
        <color theme="0" tint="-0.499984740745262"/>
      </right>
      <top style="hair">
        <color theme="1"/>
      </top>
      <bottom style="dashed">
        <color theme="0" tint="-0.499984740745262"/>
      </bottom>
      <diagonal/>
    </border>
    <border>
      <left style="thin">
        <color theme="1"/>
      </left>
      <right style="dashed">
        <color theme="0" tint="-0.499984740745262"/>
      </right>
      <top style="dashed">
        <color theme="0" tint="-0.499984740745262"/>
      </top>
      <bottom style="dashed">
        <color theme="0" tint="-0.499984740745262"/>
      </bottom>
      <diagonal/>
    </border>
    <border>
      <left style="thin">
        <color theme="1"/>
      </left>
      <right style="dashed">
        <color theme="0" tint="-0.499984740745262"/>
      </right>
      <top style="dashed">
        <color theme="0" tint="-0.499984740745262"/>
      </top>
      <bottom style="hair">
        <color theme="1"/>
      </bottom>
      <diagonal/>
    </border>
    <border>
      <left style="dashed">
        <color theme="0" tint="-0.499984740745262"/>
      </left>
      <right style="dashed">
        <color theme="0" tint="-0.499984740745262"/>
      </right>
      <top style="hair">
        <color theme="1"/>
      </top>
      <bottom style="dashed">
        <color theme="0" tint="-0.499984740745262"/>
      </bottom>
      <diagonal/>
    </border>
    <border>
      <left style="dashed">
        <color theme="0" tint="-0.499984740745262"/>
      </left>
      <right style="thin">
        <color theme="1"/>
      </right>
      <top style="hair">
        <color theme="1"/>
      </top>
      <bottom style="dashed">
        <color theme="0" tint="-0.499984740745262"/>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style="dashed">
        <color theme="0" tint="-0.499984740745262"/>
      </left>
      <right style="thin">
        <color theme="1"/>
      </right>
      <top style="dashed">
        <color theme="0" tint="-0.499984740745262"/>
      </top>
      <bottom style="dashed">
        <color theme="0" tint="-0.499984740745262"/>
      </bottom>
      <diagonal/>
    </border>
    <border>
      <left style="dashed">
        <color theme="0" tint="-0.499984740745262"/>
      </left>
      <right style="dashed">
        <color theme="0" tint="-0.499984740745262"/>
      </right>
      <top style="dashed">
        <color theme="0" tint="-0.499984740745262"/>
      </top>
      <bottom style="hair">
        <color theme="1"/>
      </bottom>
      <diagonal/>
    </border>
    <border>
      <left style="dashed">
        <color theme="0" tint="-0.499984740745262"/>
      </left>
      <right style="thin">
        <color theme="1"/>
      </right>
      <top style="dashed">
        <color theme="0" tint="-0.499984740745262"/>
      </top>
      <bottom style="hair">
        <color theme="1"/>
      </bottom>
      <diagonal/>
    </border>
    <border>
      <left/>
      <right style="thin">
        <color theme="1"/>
      </right>
      <top/>
      <bottom/>
      <diagonal/>
    </border>
    <border>
      <left/>
      <right/>
      <top/>
      <bottom style="thin">
        <color theme="1"/>
      </bottom>
      <diagonal/>
    </border>
    <border>
      <left/>
      <right style="thin">
        <color theme="1"/>
      </right>
      <top/>
      <bottom style="thin">
        <color theme="1"/>
      </bottom>
      <diagonal/>
    </border>
    <border>
      <left style="thin">
        <color indexed="8"/>
      </left>
      <right style="thin">
        <color theme="1"/>
      </right>
      <top style="thin">
        <color indexed="8"/>
      </top>
      <bottom style="thin">
        <color indexed="8"/>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indexed="8"/>
      </right>
      <top style="thin">
        <color theme="1"/>
      </top>
      <bottom/>
      <diagonal/>
    </border>
    <border>
      <left/>
      <right/>
      <top style="thin">
        <color theme="1"/>
      </top>
      <bottom/>
      <diagonal/>
    </border>
    <border>
      <left/>
      <right style="thin">
        <color indexed="8"/>
      </right>
      <top style="thin">
        <color theme="1"/>
      </top>
      <bottom/>
      <diagonal/>
    </border>
    <border>
      <left style="thin">
        <color indexed="8"/>
      </left>
      <right style="thin">
        <color indexed="8"/>
      </right>
      <top style="thin">
        <color theme="1"/>
      </top>
      <bottom/>
      <diagonal/>
    </border>
    <border>
      <left style="thin">
        <color indexed="8"/>
      </left>
      <right/>
      <top style="thin">
        <color theme="1"/>
      </top>
      <bottom/>
      <diagonal/>
    </border>
    <border>
      <left/>
      <right style="thin">
        <color theme="1"/>
      </right>
      <top style="thin">
        <color theme="1"/>
      </top>
      <bottom/>
      <diagonal/>
    </border>
    <border>
      <left style="thin">
        <color theme="1"/>
      </left>
      <right style="thin">
        <color indexed="8"/>
      </right>
      <top/>
      <bottom style="thin">
        <color theme="1"/>
      </bottom>
      <diagonal/>
    </border>
    <border>
      <left style="thin">
        <color indexed="8"/>
      </left>
      <right/>
      <top/>
      <bottom style="thin">
        <color theme="1"/>
      </bottom>
      <diagonal/>
    </border>
    <border>
      <left/>
      <right style="thin">
        <color indexed="8"/>
      </right>
      <top/>
      <bottom style="thin">
        <color theme="1"/>
      </bottom>
      <diagonal/>
    </border>
    <border>
      <left style="thin">
        <color indexed="8"/>
      </left>
      <right style="thin">
        <color indexed="8"/>
      </right>
      <top/>
      <bottom style="thin">
        <color theme="1"/>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indexed="8"/>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style="thin">
        <color theme="1"/>
      </left>
      <right style="thin">
        <color indexed="8"/>
      </right>
      <top style="thin">
        <color indexed="8"/>
      </top>
      <bottom style="thin">
        <color indexed="8"/>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8"/>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8"/>
      </left>
      <right/>
      <top/>
      <bottom/>
      <diagonal/>
    </border>
    <border>
      <left/>
      <right style="thin">
        <color indexed="8"/>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top style="thin">
        <color theme="1"/>
      </top>
      <bottom/>
      <diagonal/>
    </border>
    <border>
      <left style="thin">
        <color auto="1"/>
      </left>
      <right style="thin">
        <color auto="1"/>
      </right>
      <top style="thin">
        <color auto="1"/>
      </top>
      <bottom style="thin">
        <color theme="0" tint="-0.24994659260841701"/>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thin">
        <color auto="1"/>
      </top>
      <bottom style="thin">
        <color auto="1"/>
      </bottom>
      <diagonal/>
    </border>
  </borders>
  <cellStyleXfs count="15">
    <xf numFmtId="0" fontId="0" fillId="0" borderId="0"/>
    <xf numFmtId="43" fontId="4" fillId="0" borderId="0" applyFont="0" applyFill="0" applyBorder="0" applyAlignment="0" applyProtection="0"/>
    <xf numFmtId="44" fontId="4" fillId="0" borderId="0" applyFont="0" applyFill="0" applyBorder="0" applyAlignment="0" applyProtection="0"/>
    <xf numFmtId="0" fontId="3" fillId="0" borderId="0"/>
    <xf numFmtId="37" fontId="17" fillId="0" borderId="0"/>
    <xf numFmtId="0" fontId="3" fillId="0" borderId="0"/>
    <xf numFmtId="0" fontId="3" fillId="0" borderId="0"/>
    <xf numFmtId="9" fontId="4" fillId="0" borderId="0" applyFont="0" applyFill="0" applyBorder="0" applyAlignment="0" applyProtection="0"/>
    <xf numFmtId="9" fontId="3" fillId="0" borderId="0" applyFont="0" applyFill="0" applyBorder="0" applyAlignment="0" applyProtection="0"/>
    <xf numFmtId="0" fontId="18" fillId="0" borderId="0"/>
    <xf numFmtId="0" fontId="2" fillId="0" borderId="0"/>
    <xf numFmtId="0" fontId="2" fillId="0" borderId="0"/>
    <xf numFmtId="0" fontId="1" fillId="0" borderId="0"/>
    <xf numFmtId="43" fontId="18" fillId="0" borderId="0" applyFont="0" applyFill="0" applyBorder="0" applyAlignment="0" applyProtection="0"/>
    <xf numFmtId="44" fontId="18" fillId="0" borderId="0" applyFont="0" applyFill="0" applyBorder="0" applyAlignment="0" applyProtection="0"/>
  </cellStyleXfs>
  <cellXfs count="944">
    <xf numFmtId="0" fontId="0" fillId="0" borderId="0" xfId="0"/>
    <xf numFmtId="0" fontId="5" fillId="0" borderId="0" xfId="0" applyFont="1" applyProtection="1"/>
    <xf numFmtId="0" fontId="6" fillId="0" borderId="0" xfId="0" applyFont="1" applyProtection="1"/>
    <xf numFmtId="0" fontId="6" fillId="0" borderId="0" xfId="0" applyFont="1" applyAlignment="1" applyProtection="1">
      <alignment horizontal="right"/>
    </xf>
    <xf numFmtId="37" fontId="6" fillId="0" borderId="0" xfId="0" applyNumberFormat="1" applyFont="1" applyProtection="1"/>
    <xf numFmtId="5" fontId="6" fillId="0" borderId="0" xfId="0" applyNumberFormat="1" applyFont="1" applyProtection="1"/>
    <xf numFmtId="37" fontId="6" fillId="0" borderId="0" xfId="0" applyNumberFormat="1" applyFont="1" applyAlignment="1" applyProtection="1">
      <alignment horizontal="right"/>
    </xf>
    <xf numFmtId="5" fontId="5" fillId="0" borderId="0" xfId="0" applyNumberFormat="1" applyFont="1" applyProtection="1"/>
    <xf numFmtId="0" fontId="9" fillId="0" borderId="0" xfId="0" applyFont="1" applyAlignment="1" applyProtection="1">
      <alignment horizontal="centerContinuous"/>
    </xf>
    <xf numFmtId="10" fontId="6" fillId="0" borderId="0" xfId="0" applyNumberFormat="1" applyFont="1" applyProtection="1"/>
    <xf numFmtId="5" fontId="6" fillId="0" borderId="0" xfId="0" applyNumberFormat="1" applyFont="1" applyAlignment="1" applyProtection="1">
      <alignment horizontal="right"/>
    </xf>
    <xf numFmtId="0" fontId="11" fillId="0" borderId="0" xfId="0" applyFont="1" applyProtection="1"/>
    <xf numFmtId="0" fontId="12" fillId="0" borderId="0" xfId="0" applyFont="1" applyProtection="1">
      <protection locked="0"/>
    </xf>
    <xf numFmtId="165" fontId="11" fillId="0" borderId="0" xfId="0" applyNumberFormat="1" applyFont="1" applyProtection="1"/>
    <xf numFmtId="5" fontId="10" fillId="0" borderId="1" xfId="0" applyNumberFormat="1" applyFont="1" applyBorder="1" applyProtection="1"/>
    <xf numFmtId="166" fontId="6" fillId="0" borderId="0" xfId="0" applyNumberFormat="1" applyFont="1" applyProtection="1"/>
    <xf numFmtId="37" fontId="5" fillId="0" borderId="0" xfId="0" applyNumberFormat="1" applyFont="1" applyProtection="1"/>
    <xf numFmtId="37" fontId="10" fillId="0" borderId="0" xfId="0" applyNumberFormat="1" applyFont="1" applyProtection="1"/>
    <xf numFmtId="0" fontId="10" fillId="0" borderId="0" xfId="0" applyFont="1" applyProtection="1"/>
    <xf numFmtId="164" fontId="10" fillId="0" borderId="0" xfId="0" applyNumberFormat="1" applyFont="1" applyProtection="1"/>
    <xf numFmtId="39" fontId="10" fillId="0" borderId="0" xfId="0" applyNumberFormat="1" applyFont="1" applyProtection="1"/>
    <xf numFmtId="5" fontId="10" fillId="0" borderId="0" xfId="0" applyNumberFormat="1" applyFont="1" applyProtection="1"/>
    <xf numFmtId="10" fontId="10" fillId="0" borderId="0" xfId="0" applyNumberFormat="1" applyFont="1" applyProtection="1"/>
    <xf numFmtId="0" fontId="15" fillId="0" borderId="0" xfId="0" applyFont="1" applyProtection="1"/>
    <xf numFmtId="0" fontId="9" fillId="0" borderId="0" xfId="0" applyFont="1" applyProtection="1"/>
    <xf numFmtId="0" fontId="5" fillId="0" borderId="0" xfId="0" applyFont="1" applyAlignment="1" applyProtection="1">
      <alignment horizontal="left"/>
    </xf>
    <xf numFmtId="168" fontId="11" fillId="0" borderId="3" xfId="0" applyNumberFormat="1" applyFont="1" applyBorder="1" applyProtection="1"/>
    <xf numFmtId="0" fontId="10" fillId="0" borderId="4" xfId="0" applyFont="1" applyBorder="1" applyProtection="1"/>
    <xf numFmtId="0" fontId="6" fillId="0" borderId="0" xfId="0" applyFont="1" applyBorder="1" applyProtection="1"/>
    <xf numFmtId="5" fontId="6" fillId="0" borderId="0" xfId="0" applyNumberFormat="1" applyFont="1" applyBorder="1" applyProtection="1"/>
    <xf numFmtId="0" fontId="16" fillId="0" borderId="0" xfId="0" applyFont="1"/>
    <xf numFmtId="0" fontId="16" fillId="0" borderId="0" xfId="0" applyFont="1" applyBorder="1"/>
    <xf numFmtId="5" fontId="0" fillId="0" borderId="0" xfId="0" applyNumberFormat="1"/>
    <xf numFmtId="44" fontId="16" fillId="0" borderId="0" xfId="0" applyNumberFormat="1" applyFont="1"/>
    <xf numFmtId="7" fontId="0" fillId="0" borderId="0" xfId="0" applyNumberFormat="1"/>
    <xf numFmtId="0" fontId="10" fillId="0" borderId="3" xfId="0" applyFont="1" applyBorder="1" applyProtection="1"/>
    <xf numFmtId="0" fontId="10" fillId="0" borderId="1" xfId="0" applyFont="1" applyBorder="1" applyProtection="1"/>
    <xf numFmtId="0" fontId="11" fillId="0" borderId="3" xfId="0" applyFont="1" applyBorder="1" applyProtection="1"/>
    <xf numFmtId="0" fontId="11" fillId="0" borderId="1" xfId="0" applyFont="1" applyBorder="1" applyProtection="1"/>
    <xf numFmtId="10" fontId="11" fillId="0" borderId="1" xfId="0" applyNumberFormat="1" applyFont="1" applyBorder="1" applyProtection="1"/>
    <xf numFmtId="5" fontId="20" fillId="0" borderId="3" xfId="0" applyNumberFormat="1" applyFont="1" applyBorder="1" applyProtection="1"/>
    <xf numFmtId="5" fontId="11" fillId="0" borderId="3" xfId="0" applyNumberFormat="1" applyFont="1" applyBorder="1" applyProtection="1"/>
    <xf numFmtId="44" fontId="16" fillId="0" borderId="0" xfId="2" applyFont="1"/>
    <xf numFmtId="0" fontId="21" fillId="0" borderId="0" xfId="0" applyFont="1" applyProtection="1"/>
    <xf numFmtId="0" fontId="22" fillId="0" borderId="0" xfId="0" applyFont="1"/>
    <xf numFmtId="5" fontId="22" fillId="0" borderId="0" xfId="0" applyNumberFormat="1" applyFont="1"/>
    <xf numFmtId="0" fontId="23" fillId="0" borderId="0" xfId="0" applyFont="1"/>
    <xf numFmtId="0" fontId="24" fillId="0" borderId="0" xfId="0" applyFont="1" applyAlignment="1" applyProtection="1">
      <alignment horizontal="centerContinuous"/>
    </xf>
    <xf numFmtId="9" fontId="10" fillId="0" borderId="3" xfId="0" applyNumberFormat="1" applyFont="1" applyBorder="1" applyProtection="1"/>
    <xf numFmtId="170" fontId="24" fillId="0" borderId="0" xfId="0" applyNumberFormat="1" applyFont="1" applyAlignment="1" applyProtection="1">
      <alignment horizontal="centerContinuous"/>
    </xf>
    <xf numFmtId="170" fontId="10" fillId="0" borderId="0" xfId="0" applyNumberFormat="1" applyFont="1" applyAlignment="1" applyProtection="1">
      <alignment horizontal="centerContinuous"/>
    </xf>
    <xf numFmtId="0" fontId="10" fillId="0" borderId="0" xfId="0" applyFont="1" applyAlignment="1" applyProtection="1">
      <alignment horizontal="centerContinuous"/>
    </xf>
    <xf numFmtId="5" fontId="11" fillId="0" borderId="0" xfId="0" applyNumberFormat="1" applyFont="1" applyProtection="1"/>
    <xf numFmtId="10" fontId="11" fillId="0" borderId="0" xfId="0" applyNumberFormat="1" applyFont="1" applyProtection="1"/>
    <xf numFmtId="5" fontId="12" fillId="0" borderId="0" xfId="0" applyNumberFormat="1" applyFont="1" applyProtection="1">
      <protection locked="0"/>
    </xf>
    <xf numFmtId="10" fontId="12" fillId="0" borderId="0" xfId="0" applyNumberFormat="1" applyFont="1" applyProtection="1">
      <protection locked="0"/>
    </xf>
    <xf numFmtId="9" fontId="12" fillId="0" borderId="0" xfId="0" applyNumberFormat="1" applyFont="1" applyProtection="1">
      <protection locked="0"/>
    </xf>
    <xf numFmtId="7" fontId="12" fillId="0" borderId="0" xfId="0" applyNumberFormat="1" applyFont="1" applyProtection="1">
      <protection locked="0"/>
    </xf>
    <xf numFmtId="37" fontId="12" fillId="0" borderId="0" xfId="0" applyNumberFormat="1" applyFont="1" applyProtection="1">
      <protection locked="0"/>
    </xf>
    <xf numFmtId="0" fontId="22" fillId="0" borderId="0" xfId="0" applyFont="1" applyAlignment="1"/>
    <xf numFmtId="10" fontId="11" fillId="0" borderId="0" xfId="0" applyNumberFormat="1" applyFont="1" applyAlignment="1" applyProtection="1">
      <alignment horizontal="centerContinuous"/>
    </xf>
    <xf numFmtId="10" fontId="23" fillId="0" borderId="0" xfId="0" applyNumberFormat="1" applyFont="1"/>
    <xf numFmtId="0" fontId="22" fillId="0" borderId="0" xfId="0" applyFont="1" applyAlignment="1" applyProtection="1"/>
    <xf numFmtId="0" fontId="23" fillId="0" borderId="0" xfId="0" applyFont="1" applyAlignment="1" applyProtection="1">
      <protection locked="0"/>
    </xf>
    <xf numFmtId="5" fontId="23" fillId="0" borderId="0" xfId="0" applyNumberFormat="1" applyFont="1" applyAlignment="1" applyProtection="1">
      <protection locked="0"/>
    </xf>
    <xf numFmtId="0" fontId="23" fillId="0" borderId="0" xfId="0" applyFont="1" applyAlignment="1" applyProtection="1">
      <alignment horizontal="right"/>
      <protection locked="0"/>
    </xf>
    <xf numFmtId="0" fontId="10" fillId="0" borderId="0" xfId="0" applyFont="1" applyBorder="1" applyProtection="1"/>
    <xf numFmtId="0" fontId="10" fillId="0" borderId="5" xfId="0" applyFont="1" applyBorder="1" applyProtection="1"/>
    <xf numFmtId="0" fontId="10" fillId="0" borderId="0" xfId="0" applyFont="1" applyAlignment="1" applyProtection="1">
      <alignment horizontal="right"/>
    </xf>
    <xf numFmtId="7" fontId="10" fillId="0" borderId="0" xfId="0" applyNumberFormat="1" applyFont="1" applyProtection="1"/>
    <xf numFmtId="37" fontId="10" fillId="0" borderId="0" xfId="0" applyNumberFormat="1" applyFont="1" applyAlignment="1" applyProtection="1">
      <alignment horizontal="right"/>
    </xf>
    <xf numFmtId="9" fontId="10" fillId="0" borderId="0" xfId="0" applyNumberFormat="1" applyFont="1" applyProtection="1"/>
    <xf numFmtId="7" fontId="22" fillId="0" borderId="0" xfId="0" applyNumberFormat="1" applyFont="1"/>
    <xf numFmtId="0" fontId="19" fillId="0" borderId="0" xfId="0" applyFont="1" applyProtection="1"/>
    <xf numFmtId="5" fontId="5" fillId="0" borderId="0" xfId="0" applyNumberFormat="1" applyFont="1" applyBorder="1" applyProtection="1"/>
    <xf numFmtId="0" fontId="5" fillId="0" borderId="0" xfId="0" applyFont="1" applyBorder="1" applyProtection="1"/>
    <xf numFmtId="0" fontId="22" fillId="0" borderId="7" xfId="0" applyFont="1" applyBorder="1"/>
    <xf numFmtId="9" fontId="22" fillId="0" borderId="0" xfId="0" applyNumberFormat="1" applyFont="1"/>
    <xf numFmtId="10" fontId="22" fillId="0" borderId="0" xfId="0" applyNumberFormat="1" applyFont="1"/>
    <xf numFmtId="37" fontId="22" fillId="0" borderId="0" xfId="0" applyNumberFormat="1" applyFont="1"/>
    <xf numFmtId="170" fontId="10" fillId="0" borderId="0" xfId="0" applyNumberFormat="1" applyFont="1" applyAlignment="1" applyProtection="1">
      <alignment horizontal="center"/>
    </xf>
    <xf numFmtId="0" fontId="19" fillId="0" borderId="3" xfId="0" applyFont="1" applyBorder="1" applyProtection="1"/>
    <xf numFmtId="0" fontId="19" fillId="0" borderId="1" xfId="0" applyFont="1" applyBorder="1" applyProtection="1"/>
    <xf numFmtId="5" fontId="10" fillId="0" borderId="3" xfId="0" applyNumberFormat="1" applyFont="1" applyBorder="1" applyProtection="1"/>
    <xf numFmtId="10" fontId="10" fillId="0" borderId="3" xfId="0" applyNumberFormat="1" applyFont="1" applyBorder="1" applyProtection="1"/>
    <xf numFmtId="10" fontId="10" fillId="0" borderId="1" xfId="0" applyNumberFormat="1" applyFont="1" applyBorder="1" applyProtection="1"/>
    <xf numFmtId="170" fontId="22" fillId="0" borderId="0" xfId="0" applyNumberFormat="1" applyFont="1"/>
    <xf numFmtId="168" fontId="10" fillId="0" borderId="0" xfId="0" applyNumberFormat="1" applyFont="1" applyProtection="1"/>
    <xf numFmtId="39" fontId="10" fillId="0" borderId="0" xfId="0" applyNumberFormat="1" applyFont="1" applyAlignment="1" applyProtection="1">
      <alignment horizontal="center"/>
    </xf>
    <xf numFmtId="10" fontId="10" fillId="0" borderId="3" xfId="7" applyNumberFormat="1" applyFont="1" applyBorder="1" applyProtection="1"/>
    <xf numFmtId="5" fontId="10" fillId="0" borderId="1" xfId="0" quotePrefix="1" applyNumberFormat="1" applyFont="1" applyBorder="1" applyProtection="1"/>
    <xf numFmtId="10" fontId="22" fillId="0" borderId="3" xfId="0" applyNumberFormat="1" applyFont="1" applyBorder="1"/>
    <xf numFmtId="10" fontId="10" fillId="0" borderId="0" xfId="7" applyNumberFormat="1" applyFont="1" applyProtection="1"/>
    <xf numFmtId="3" fontId="16" fillId="0" borderId="0" xfId="0" applyNumberFormat="1" applyFont="1"/>
    <xf numFmtId="5" fontId="10" fillId="0" borderId="0" xfId="0" applyNumberFormat="1" applyFont="1" applyFill="1" applyBorder="1" applyProtection="1"/>
    <xf numFmtId="0" fontId="22" fillId="0" borderId="0" xfId="0" applyFont="1" applyBorder="1"/>
    <xf numFmtId="5" fontId="22" fillId="0" borderId="0" xfId="0" applyNumberFormat="1" applyFont="1" applyBorder="1" applyProtection="1"/>
    <xf numFmtId="5" fontId="22" fillId="0" borderId="0" xfId="0" applyNumberFormat="1" applyFont="1" applyBorder="1"/>
    <xf numFmtId="10" fontId="22" fillId="0" borderId="0" xfId="0" applyNumberFormat="1" applyFont="1" applyBorder="1" applyProtection="1"/>
    <xf numFmtId="10" fontId="26" fillId="0" borderId="0" xfId="0" applyNumberFormat="1" applyFont="1" applyBorder="1" applyProtection="1"/>
    <xf numFmtId="0" fontId="22" fillId="0" borderId="0" xfId="0" applyFont="1" applyBorder="1" applyAlignment="1">
      <alignment horizontal="right"/>
    </xf>
    <xf numFmtId="9" fontId="22" fillId="0" borderId="0" xfId="7" applyFont="1" applyBorder="1"/>
    <xf numFmtId="10" fontId="22" fillId="0" borderId="0" xfId="7" applyNumberFormat="1" applyFont="1" applyBorder="1"/>
    <xf numFmtId="10" fontId="22" fillId="0" borderId="0" xfId="0" applyNumberFormat="1" applyFont="1" applyBorder="1"/>
    <xf numFmtId="10" fontId="22" fillId="0" borderId="0" xfId="7" applyNumberFormat="1" applyFont="1" applyBorder="1" applyProtection="1"/>
    <xf numFmtId="44" fontId="22" fillId="0" borderId="0" xfId="2" applyFont="1" applyBorder="1"/>
    <xf numFmtId="168" fontId="22" fillId="0" borderId="0" xfId="7" applyNumberFormat="1" applyFont="1"/>
    <xf numFmtId="44" fontId="22" fillId="0" borderId="0" xfId="2" applyFont="1"/>
    <xf numFmtId="44" fontId="22" fillId="0" borderId="0" xfId="0" applyNumberFormat="1" applyFont="1"/>
    <xf numFmtId="5" fontId="22" fillId="0" borderId="7" xfId="0" applyNumberFormat="1" applyFont="1" applyBorder="1" applyProtection="1"/>
    <xf numFmtId="0" fontId="22" fillId="0" borderId="0" xfId="0" applyFont="1" applyAlignment="1">
      <alignment horizontal="right"/>
    </xf>
    <xf numFmtId="0" fontId="16" fillId="0" borderId="0" xfId="0" applyFont="1" applyBorder="1" applyAlignment="1">
      <alignment horizontal="right"/>
    </xf>
    <xf numFmtId="37" fontId="14" fillId="0" borderId="0" xfId="0" applyNumberFormat="1" applyFont="1" applyProtection="1"/>
    <xf numFmtId="10" fontId="22" fillId="2" borderId="8" xfId="0" applyNumberFormat="1" applyFont="1" applyFill="1" applyBorder="1" applyProtection="1"/>
    <xf numFmtId="0" fontId="22" fillId="2" borderId="8" xfId="0" applyFont="1" applyFill="1" applyBorder="1"/>
    <xf numFmtId="0" fontId="16" fillId="0" borderId="0" xfId="0" applyFont="1" applyBorder="1" applyAlignment="1">
      <alignment horizontal="left"/>
    </xf>
    <xf numFmtId="0" fontId="22" fillId="0" borderId="0" xfId="0" applyFont="1" applyFill="1" applyBorder="1" applyAlignment="1">
      <alignment horizontal="right"/>
    </xf>
    <xf numFmtId="0" fontId="22" fillId="0" borderId="0" xfId="0" applyFont="1" applyAlignment="1">
      <alignment horizontal="center"/>
    </xf>
    <xf numFmtId="0" fontId="22" fillId="0" borderId="0" xfId="0" applyFont="1" applyBorder="1" applyAlignment="1">
      <alignment horizontal="center"/>
    </xf>
    <xf numFmtId="9" fontId="22" fillId="0" borderId="0" xfId="0" applyNumberFormat="1" applyFont="1" applyAlignment="1">
      <alignment horizontal="center"/>
    </xf>
    <xf numFmtId="0" fontId="22" fillId="0" borderId="0" xfId="0" applyFont="1" applyFill="1" applyBorder="1" applyAlignment="1">
      <alignment horizontal="center"/>
    </xf>
    <xf numFmtId="7" fontId="16" fillId="0" borderId="0" xfId="0" applyNumberFormat="1" applyFont="1"/>
    <xf numFmtId="10" fontId="22" fillId="2" borderId="8" xfId="2" applyNumberFormat="1" applyFont="1" applyFill="1" applyBorder="1"/>
    <xf numFmtId="0" fontId="22" fillId="0" borderId="0" xfId="0" applyFont="1" applyAlignment="1">
      <alignment horizontal="right" wrapText="1"/>
    </xf>
    <xf numFmtId="39" fontId="10" fillId="0" borderId="0" xfId="0" applyNumberFormat="1" applyFont="1" applyAlignment="1" applyProtection="1">
      <alignment horizontal="left"/>
    </xf>
    <xf numFmtId="10" fontId="27" fillId="0" borderId="0" xfId="0" applyNumberFormat="1" applyFont="1" applyProtection="1"/>
    <xf numFmtId="39" fontId="27" fillId="0" borderId="0" xfId="0" applyNumberFormat="1" applyFont="1" applyProtection="1"/>
    <xf numFmtId="0" fontId="0" fillId="0" borderId="0" xfId="0" applyAlignment="1">
      <alignment horizontal="right"/>
    </xf>
    <xf numFmtId="0" fontId="6" fillId="0" borderId="0" xfId="0" applyFont="1" applyBorder="1" applyAlignment="1" applyProtection="1">
      <alignment horizontal="right"/>
    </xf>
    <xf numFmtId="0" fontId="0" fillId="0" borderId="0" xfId="0" applyBorder="1" applyAlignment="1">
      <alignment horizontal="right"/>
    </xf>
    <xf numFmtId="7" fontId="6" fillId="0" borderId="0" xfId="0" applyNumberFormat="1" applyFont="1" applyBorder="1" applyProtection="1"/>
    <xf numFmtId="9" fontId="6" fillId="0" borderId="0" xfId="0" applyNumberFormat="1" applyFont="1" applyBorder="1" applyProtection="1"/>
    <xf numFmtId="37" fontId="6" fillId="0" borderId="0" xfId="0" applyNumberFormat="1" applyFont="1" applyBorder="1" applyProtection="1"/>
    <xf numFmtId="2" fontId="0" fillId="0" borderId="0" xfId="0" applyNumberFormat="1" applyBorder="1"/>
    <xf numFmtId="0" fontId="18" fillId="0" borderId="0" xfId="0" applyFont="1"/>
    <xf numFmtId="37" fontId="23" fillId="0" borderId="0" xfId="4" applyFont="1"/>
    <xf numFmtId="3" fontId="0" fillId="0" borderId="0" xfId="0" applyNumberFormat="1"/>
    <xf numFmtId="3" fontId="22" fillId="0" borderId="0" xfId="0" applyNumberFormat="1" applyFont="1"/>
    <xf numFmtId="3" fontId="0" fillId="0" borderId="0" xfId="0" applyNumberFormat="1" applyAlignment="1">
      <alignment horizontal="right"/>
    </xf>
    <xf numFmtId="9" fontId="18" fillId="2" borderId="8" xfId="7" applyFont="1" applyFill="1" applyBorder="1"/>
    <xf numFmtId="0" fontId="16" fillId="0" borderId="0" xfId="0" applyFont="1" applyAlignment="1">
      <alignment horizontal="right"/>
    </xf>
    <xf numFmtId="3" fontId="0" fillId="0" borderId="8" xfId="0" applyNumberFormat="1" applyBorder="1" applyAlignment="1">
      <alignment horizontal="right"/>
    </xf>
    <xf numFmtId="3" fontId="0" fillId="0" borderId="0" xfId="0" applyNumberFormat="1" applyBorder="1" applyAlignment="1">
      <alignment horizontal="right"/>
    </xf>
    <xf numFmtId="0" fontId="19" fillId="0" borderId="0" xfId="0" applyFont="1" applyBorder="1" applyProtection="1"/>
    <xf numFmtId="10" fontId="5" fillId="0" borderId="3" xfId="0" applyNumberFormat="1" applyFont="1" applyBorder="1" applyProtection="1"/>
    <xf numFmtId="0" fontId="5" fillId="0" borderId="1" xfId="0" applyFont="1" applyBorder="1" applyProtection="1"/>
    <xf numFmtId="0" fontId="8" fillId="0" borderId="3" xfId="0" applyFont="1" applyBorder="1" applyProtection="1"/>
    <xf numFmtId="0" fontId="8" fillId="0" borderId="1" xfId="0" applyFont="1" applyBorder="1" applyProtection="1"/>
    <xf numFmtId="0" fontId="22" fillId="0" borderId="0" xfId="0" applyFont="1" applyFill="1"/>
    <xf numFmtId="5" fontId="16" fillId="0" borderId="0" xfId="0" applyNumberFormat="1" applyFont="1" applyFill="1" applyBorder="1" applyAlignment="1">
      <alignment horizontal="right"/>
    </xf>
    <xf numFmtId="2" fontId="10" fillId="0" borderId="3" xfId="0" applyNumberFormat="1" applyFont="1" applyBorder="1" applyProtection="1"/>
    <xf numFmtId="37" fontId="6" fillId="0" borderId="0" xfId="0" applyNumberFormat="1" applyFont="1" applyFill="1" applyBorder="1" applyProtection="1"/>
    <xf numFmtId="0" fontId="0" fillId="0" borderId="0" xfId="0" applyFill="1" applyBorder="1"/>
    <xf numFmtId="0" fontId="0" fillId="0" borderId="0" xfId="0" applyFill="1" applyBorder="1" applyAlignment="1">
      <alignment horizontal="right"/>
    </xf>
    <xf numFmtId="37" fontId="6" fillId="0" borderId="0" xfId="0" applyNumberFormat="1" applyFont="1" applyFill="1" applyBorder="1" applyAlignment="1" applyProtection="1">
      <alignment horizontal="right"/>
    </xf>
    <xf numFmtId="10" fontId="6" fillId="0" borderId="0" xfId="0" applyNumberFormat="1" applyFont="1" applyFill="1" applyBorder="1" applyProtection="1"/>
    <xf numFmtId="0" fontId="6" fillId="0" borderId="0" xfId="0" applyFont="1" applyFill="1" applyBorder="1" applyAlignment="1" applyProtection="1">
      <alignment horizontal="right"/>
    </xf>
    <xf numFmtId="0" fontId="6" fillId="0" borderId="0" xfId="0" applyFont="1" applyFill="1" applyBorder="1" applyProtection="1"/>
    <xf numFmtId="172" fontId="6" fillId="0" borderId="0" xfId="0" applyNumberFormat="1" applyFont="1" applyFill="1" applyBorder="1" applyProtection="1"/>
    <xf numFmtId="0" fontId="16" fillId="0" borderId="0" xfId="0" applyFont="1" applyBorder="1" applyProtection="1">
      <protection hidden="1"/>
    </xf>
    <xf numFmtId="5" fontId="22" fillId="0" borderId="0" xfId="0" applyNumberFormat="1" applyFont="1" applyBorder="1" applyProtection="1">
      <protection hidden="1"/>
    </xf>
    <xf numFmtId="0" fontId="22" fillId="0" borderId="0" xfId="0" applyFont="1" applyProtection="1">
      <protection hidden="1"/>
    </xf>
    <xf numFmtId="0" fontId="22" fillId="0" borderId="0" xfId="0" applyFont="1" applyBorder="1" applyProtection="1">
      <protection hidden="1"/>
    </xf>
    <xf numFmtId="0" fontId="22" fillId="0" borderId="0" xfId="0" applyFont="1" applyBorder="1" applyAlignment="1" applyProtection="1">
      <alignment horizontal="right"/>
      <protection hidden="1"/>
    </xf>
    <xf numFmtId="10" fontId="22" fillId="2" borderId="8" xfId="0" applyNumberFormat="1" applyFont="1" applyFill="1" applyBorder="1" applyProtection="1">
      <protection hidden="1"/>
    </xf>
    <xf numFmtId="49" fontId="22" fillId="0" borderId="0" xfId="0" quotePrefix="1" applyNumberFormat="1" applyFont="1" applyBorder="1" applyAlignment="1" applyProtection="1">
      <alignment horizontal="right"/>
      <protection hidden="1"/>
    </xf>
    <xf numFmtId="10" fontId="22" fillId="0" borderId="0" xfId="0" applyNumberFormat="1" applyFont="1" applyFill="1" applyBorder="1" applyProtection="1">
      <protection hidden="1"/>
    </xf>
    <xf numFmtId="0" fontId="10" fillId="0" borderId="0" xfId="0" applyFont="1" applyFill="1" applyBorder="1" applyProtection="1"/>
    <xf numFmtId="0" fontId="10" fillId="0" borderId="3" xfId="0" applyFont="1" applyFill="1" applyBorder="1" applyProtection="1"/>
    <xf numFmtId="0" fontId="10" fillId="0" borderId="1" xfId="0" applyFont="1" applyFill="1" applyBorder="1" applyProtection="1"/>
    <xf numFmtId="175" fontId="10" fillId="0" borderId="3" xfId="0" applyNumberFormat="1" applyFont="1" applyFill="1" applyBorder="1" applyProtection="1"/>
    <xf numFmtId="0" fontId="10" fillId="0" borderId="0" xfId="0" applyFont="1" applyFill="1" applyProtection="1"/>
    <xf numFmtId="0" fontId="0" fillId="0" borderId="0" xfId="0" applyBorder="1"/>
    <xf numFmtId="37" fontId="22" fillId="0" borderId="0" xfId="0" applyNumberFormat="1" applyFont="1" applyFill="1" applyBorder="1" applyAlignment="1" applyProtection="1">
      <alignment horizontal="right"/>
    </xf>
    <xf numFmtId="0" fontId="22" fillId="0" borderId="0" xfId="0" applyFont="1" applyFill="1" applyBorder="1" applyAlignment="1" applyProtection="1">
      <alignment horizontal="right"/>
    </xf>
    <xf numFmtId="41" fontId="10" fillId="0" borderId="4" xfId="0" applyNumberFormat="1" applyFont="1" applyBorder="1" applyProtection="1"/>
    <xf numFmtId="41" fontId="10" fillId="0" borderId="0" xfId="0" applyNumberFormat="1" applyFont="1" applyFill="1" applyBorder="1" applyProtection="1"/>
    <xf numFmtId="41" fontId="10" fillId="0" borderId="4" xfId="0" applyNumberFormat="1" applyFont="1" applyFill="1" applyBorder="1" applyProtection="1"/>
    <xf numFmtId="41" fontId="5" fillId="0" borderId="4" xfId="0" applyNumberFormat="1" applyFont="1" applyFill="1" applyBorder="1" applyProtection="1"/>
    <xf numFmtId="41" fontId="22" fillId="0" borderId="4" xfId="0" applyNumberFormat="1" applyFont="1" applyFill="1" applyBorder="1"/>
    <xf numFmtId="41" fontId="22" fillId="0" borderId="0" xfId="0" applyNumberFormat="1" applyFont="1" applyFill="1" applyAlignment="1"/>
    <xf numFmtId="41" fontId="10" fillId="0" borderId="0" xfId="0" applyNumberFormat="1" applyFont="1" applyProtection="1"/>
    <xf numFmtId="41" fontId="22" fillId="0" borderId="0" xfId="0" applyNumberFormat="1" applyFont="1"/>
    <xf numFmtId="41" fontId="11" fillId="0" borderId="0" xfId="0" applyNumberFormat="1" applyFont="1" applyAlignment="1" applyProtection="1">
      <alignment horizontal="center"/>
    </xf>
    <xf numFmtId="168" fontId="10" fillId="0" borderId="3" xfId="7" applyNumberFormat="1" applyFont="1" applyBorder="1" applyProtection="1"/>
    <xf numFmtId="41" fontId="10" fillId="0" borderId="3" xfId="0" applyNumberFormat="1" applyFont="1" applyBorder="1" applyProtection="1"/>
    <xf numFmtId="43" fontId="10" fillId="0" borderId="3" xfId="0" applyNumberFormat="1" applyFont="1" applyBorder="1" applyProtection="1"/>
    <xf numFmtId="173" fontId="10" fillId="0" borderId="3" xfId="0" applyNumberFormat="1" applyFont="1" applyBorder="1" applyProtection="1"/>
    <xf numFmtId="41" fontId="10" fillId="0" borderId="0" xfId="0" applyNumberFormat="1" applyFont="1" applyFill="1" applyProtection="1"/>
    <xf numFmtId="172" fontId="22" fillId="0" borderId="0" xfId="0" applyNumberFormat="1" applyFont="1" applyFill="1" applyBorder="1" applyProtection="1"/>
    <xf numFmtId="41" fontId="10" fillId="0" borderId="0" xfId="0" applyNumberFormat="1" applyFont="1" applyFill="1" applyAlignment="1" applyProtection="1"/>
    <xf numFmtId="41" fontId="10" fillId="0" borderId="0" xfId="0" applyNumberFormat="1" applyFont="1" applyFill="1" applyAlignment="1" applyProtection="1">
      <alignment horizontal="right"/>
    </xf>
    <xf numFmtId="41" fontId="19" fillId="0" borderId="0" xfId="0" applyNumberFormat="1" applyFont="1" applyFill="1" applyAlignment="1" applyProtection="1">
      <alignment horizontal="right"/>
    </xf>
    <xf numFmtId="5" fontId="10" fillId="0" borderId="0" xfId="0" applyNumberFormat="1" applyFont="1" applyFill="1" applyProtection="1"/>
    <xf numFmtId="37" fontId="10" fillId="0" borderId="0" xfId="0" applyNumberFormat="1" applyFont="1" applyFill="1" applyProtection="1"/>
    <xf numFmtId="5" fontId="10" fillId="0" borderId="0" xfId="0" applyNumberFormat="1" applyFont="1" applyFill="1" applyAlignment="1" applyProtection="1">
      <alignment horizontal="right"/>
    </xf>
    <xf numFmtId="5" fontId="12" fillId="0" borderId="0" xfId="0" applyNumberFormat="1" applyFont="1" applyFill="1" applyProtection="1">
      <protection locked="0"/>
    </xf>
    <xf numFmtId="165" fontId="11" fillId="0" borderId="0" xfId="0" applyNumberFormat="1" applyFont="1" applyFill="1" applyProtection="1"/>
    <xf numFmtId="0" fontId="19" fillId="0" borderId="0" xfId="0" applyFont="1" applyFill="1" applyBorder="1" applyAlignment="1" applyProtection="1">
      <alignment horizontal="center"/>
    </xf>
    <xf numFmtId="0" fontId="10" fillId="0" borderId="0" xfId="0" applyFont="1" applyFill="1" applyBorder="1" applyAlignment="1" applyProtection="1">
      <alignment horizontal="centerContinuous"/>
    </xf>
    <xf numFmtId="0" fontId="10" fillId="0" borderId="0" xfId="0"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5" fillId="0" borderId="0" xfId="0" applyFont="1" applyFill="1" applyBorder="1" applyAlignment="1" applyProtection="1">
      <alignment horizontal="center"/>
    </xf>
    <xf numFmtId="0" fontId="10" fillId="0" borderId="0" xfId="0" applyFont="1" applyFill="1" applyBorder="1" applyAlignment="1" applyProtection="1">
      <alignment horizontal="right" wrapText="1"/>
    </xf>
    <xf numFmtId="169" fontId="10" fillId="0" borderId="0" xfId="2" applyNumberFormat="1" applyFont="1" applyFill="1" applyBorder="1" applyProtection="1"/>
    <xf numFmtId="0" fontId="5" fillId="0" borderId="0" xfId="0" applyFont="1" applyFill="1" applyBorder="1" applyProtection="1"/>
    <xf numFmtId="0" fontId="5" fillId="0" borderId="0" xfId="0" applyFont="1" applyFill="1" applyBorder="1" applyAlignment="1" applyProtection="1">
      <alignment horizontal="right"/>
    </xf>
    <xf numFmtId="5" fontId="5" fillId="0" borderId="0" xfId="0" applyNumberFormat="1" applyFont="1" applyFill="1" applyBorder="1" applyProtection="1"/>
    <xf numFmtId="173" fontId="22" fillId="0" borderId="0" xfId="1" applyNumberFormat="1" applyFont="1"/>
    <xf numFmtId="173" fontId="10" fillId="0" borderId="3" xfId="1" applyNumberFormat="1" applyFont="1" applyBorder="1" applyProtection="1"/>
    <xf numFmtId="3" fontId="10" fillId="0" borderId="1" xfId="0" applyNumberFormat="1" applyFont="1" applyBorder="1" applyProtection="1"/>
    <xf numFmtId="173" fontId="10" fillId="0" borderId="0" xfId="1" applyNumberFormat="1" applyFont="1" applyProtection="1"/>
    <xf numFmtId="173" fontId="8" fillId="0" borderId="0" xfId="1" applyNumberFormat="1" applyFont="1" applyProtection="1"/>
    <xf numFmtId="173" fontId="11" fillId="0" borderId="0" xfId="1" applyNumberFormat="1" applyFont="1" applyProtection="1"/>
    <xf numFmtId="8" fontId="0" fillId="0" borderId="0" xfId="0" applyNumberFormat="1"/>
    <xf numFmtId="173" fontId="0" fillId="0" borderId="0" xfId="1" applyNumberFormat="1" applyFont="1"/>
    <xf numFmtId="173" fontId="6" fillId="0" borderId="0" xfId="0" applyNumberFormat="1" applyFont="1" applyBorder="1" applyProtection="1"/>
    <xf numFmtId="0" fontId="22" fillId="0" borderId="0" xfId="0" applyFont="1" applyFill="1" applyBorder="1"/>
    <xf numFmtId="0" fontId="5" fillId="0" borderId="0" xfId="0" applyFont="1" applyFill="1" applyBorder="1" applyAlignment="1" applyProtection="1">
      <alignment horizontal="left"/>
    </xf>
    <xf numFmtId="0" fontId="10" fillId="0" borderId="0" xfId="0" applyFont="1" applyFill="1" applyBorder="1" applyAlignment="1" applyProtection="1">
      <alignment horizontal="left"/>
    </xf>
    <xf numFmtId="3" fontId="16" fillId="0" borderId="0" xfId="0" applyNumberFormat="1" applyFont="1" applyFill="1" applyBorder="1"/>
    <xf numFmtId="170" fontId="10" fillId="0" borderId="0" xfId="0" applyNumberFormat="1" applyFont="1" applyFill="1" applyBorder="1" applyAlignment="1" applyProtection="1">
      <alignment horizontal="centerContinuous"/>
    </xf>
    <xf numFmtId="0" fontId="16" fillId="0" borderId="0" xfId="0" applyFont="1" applyFill="1" applyBorder="1"/>
    <xf numFmtId="173" fontId="16" fillId="0" borderId="0" xfId="1" applyNumberFormat="1" applyFont="1" applyFill="1" applyBorder="1"/>
    <xf numFmtId="37" fontId="10" fillId="0" borderId="0" xfId="0" applyNumberFormat="1" applyFont="1" applyFill="1" applyBorder="1" applyProtection="1"/>
    <xf numFmtId="0" fontId="10" fillId="0" borderId="0" xfId="0" applyFont="1" applyFill="1" applyBorder="1" applyAlignment="1" applyProtection="1">
      <alignment wrapText="1"/>
    </xf>
    <xf numFmtId="7" fontId="10" fillId="0" borderId="0" xfId="0" applyNumberFormat="1" applyFont="1" applyFill="1" applyBorder="1" applyProtection="1"/>
    <xf numFmtId="0" fontId="22" fillId="0" borderId="0" xfId="0" applyFont="1" applyFill="1" applyBorder="1" applyAlignment="1">
      <alignment wrapText="1"/>
    </xf>
    <xf numFmtId="7" fontId="22" fillId="0" borderId="0" xfId="0" applyNumberFormat="1" applyFont="1" applyFill="1" applyBorder="1"/>
    <xf numFmtId="10" fontId="11" fillId="0" borderId="0" xfId="0" applyNumberFormat="1" applyFont="1" applyFill="1" applyBorder="1" applyAlignment="1" applyProtection="1">
      <alignment horizontal="left"/>
    </xf>
    <xf numFmtId="10" fontId="22" fillId="0" borderId="0" xfId="0" applyNumberFormat="1" applyFont="1" applyFill="1"/>
    <xf numFmtId="41" fontId="10" fillId="0" borderId="1" xfId="0" applyNumberFormat="1" applyFont="1" applyFill="1" applyBorder="1" applyProtection="1"/>
    <xf numFmtId="41" fontId="19" fillId="0" borderId="1" xfId="0" applyNumberFormat="1" applyFont="1" applyFill="1" applyBorder="1" applyProtection="1"/>
    <xf numFmtId="165" fontId="11" fillId="0" borderId="0" xfId="0" applyNumberFormat="1" applyFont="1" applyBorder="1" applyProtection="1"/>
    <xf numFmtId="0" fontId="15" fillId="0" borderId="0" xfId="0" applyFont="1" applyBorder="1" applyProtection="1"/>
    <xf numFmtId="0" fontId="0" fillId="0" borderId="11" xfId="0" applyBorder="1"/>
    <xf numFmtId="0" fontId="5" fillId="0" borderId="12" xfId="0" applyFont="1" applyBorder="1" applyProtection="1"/>
    <xf numFmtId="0" fontId="10" fillId="0" borderId="12" xfId="0" applyFont="1" applyBorder="1" applyProtection="1"/>
    <xf numFmtId="0" fontId="23" fillId="0" borderId="12" xfId="0" applyFont="1" applyBorder="1" applyAlignment="1" applyProtection="1">
      <protection locked="0"/>
    </xf>
    <xf numFmtId="10" fontId="11" fillId="0" borderId="12" xfId="0" applyNumberFormat="1" applyFont="1" applyBorder="1" applyProtection="1"/>
    <xf numFmtId="0" fontId="10" fillId="0" borderId="12" xfId="0" applyFont="1" applyFill="1" applyBorder="1" applyProtection="1"/>
    <xf numFmtId="5" fontId="23" fillId="0" borderId="12" xfId="0" applyNumberFormat="1" applyFont="1" applyBorder="1" applyAlignment="1" applyProtection="1">
      <protection locked="0"/>
    </xf>
    <xf numFmtId="10" fontId="11" fillId="0" borderId="12" xfId="0" applyNumberFormat="1" applyFont="1" applyBorder="1" applyAlignment="1" applyProtection="1">
      <alignment horizontal="center"/>
    </xf>
    <xf numFmtId="5" fontId="10" fillId="0" borderId="11" xfId="0" applyNumberFormat="1" applyFont="1" applyFill="1" applyBorder="1" applyProtection="1"/>
    <xf numFmtId="5" fontId="23" fillId="0" borderId="11" xfId="0" applyNumberFormat="1" applyFont="1" applyBorder="1" applyAlignment="1" applyProtection="1">
      <protection locked="0"/>
    </xf>
    <xf numFmtId="10" fontId="11" fillId="0" borderId="13" xfId="0" applyNumberFormat="1" applyFont="1" applyBorder="1" applyProtection="1"/>
    <xf numFmtId="10" fontId="11" fillId="0" borderId="6" xfId="0" applyNumberFormat="1" applyFont="1" applyBorder="1" applyProtection="1"/>
    <xf numFmtId="0" fontId="5" fillId="0" borderId="14" xfId="0" applyFont="1" applyBorder="1" applyProtection="1"/>
    <xf numFmtId="0" fontId="12" fillId="0" borderId="3" xfId="0" applyFont="1" applyBorder="1" applyProtection="1">
      <protection locked="0"/>
    </xf>
    <xf numFmtId="10" fontId="11" fillId="0" borderId="1" xfId="0" applyNumberFormat="1" applyFont="1" applyBorder="1" applyAlignment="1" applyProtection="1">
      <alignment horizontal="fill"/>
      <protection locked="0"/>
    </xf>
    <xf numFmtId="10" fontId="11" fillId="0" borderId="13" xfId="0" applyNumberFormat="1" applyFont="1" applyBorder="1" applyAlignment="1" applyProtection="1">
      <alignment horizontal="right"/>
    </xf>
    <xf numFmtId="0" fontId="10" fillId="0" borderId="15" xfId="0" applyFont="1" applyFill="1" applyBorder="1" applyProtection="1"/>
    <xf numFmtId="5" fontId="23" fillId="0" borderId="15" xfId="0" applyNumberFormat="1" applyFont="1" applyBorder="1" applyAlignment="1" applyProtection="1">
      <protection locked="0"/>
    </xf>
    <xf numFmtId="0" fontId="11" fillId="0" borderId="0" xfId="0" applyFont="1" applyFill="1" applyBorder="1" applyProtection="1"/>
    <xf numFmtId="0" fontId="11" fillId="0" borderId="0" xfId="0" applyFont="1" applyFill="1" applyBorder="1" applyAlignment="1" applyProtection="1"/>
    <xf numFmtId="0" fontId="23" fillId="0" borderId="0" xfId="0" applyFont="1" applyFill="1" applyBorder="1"/>
    <xf numFmtId="10" fontId="11" fillId="0" borderId="0" xfId="0" applyNumberFormat="1" applyFont="1" applyFill="1" applyBorder="1" applyProtection="1"/>
    <xf numFmtId="170" fontId="11" fillId="0" borderId="0" xfId="0" applyNumberFormat="1" applyFont="1" applyFill="1" applyBorder="1" applyProtection="1"/>
    <xf numFmtId="165" fontId="11" fillId="0" borderId="0" xfId="0" applyNumberFormat="1" applyFont="1" applyFill="1" applyBorder="1" applyAlignment="1" applyProtection="1">
      <alignment horizontal="left"/>
    </xf>
    <xf numFmtId="173" fontId="16" fillId="0" borderId="0" xfId="1" applyNumberFormat="1" applyFont="1"/>
    <xf numFmtId="5" fontId="16" fillId="0" borderId="0" xfId="0" applyNumberFormat="1" applyFont="1" applyBorder="1"/>
    <xf numFmtId="5" fontId="16" fillId="0" borderId="0" xfId="0" applyNumberFormat="1" applyFont="1" applyFill="1" applyBorder="1"/>
    <xf numFmtId="37" fontId="16" fillId="0" borderId="0" xfId="0" applyNumberFormat="1" applyFont="1" applyFill="1" applyBorder="1"/>
    <xf numFmtId="0" fontId="22" fillId="0" borderId="0" xfId="0" applyFont="1" applyBorder="1" applyAlignment="1">
      <alignment wrapText="1"/>
    </xf>
    <xf numFmtId="37" fontId="10" fillId="0" borderId="0" xfId="0" applyNumberFormat="1" applyFont="1" applyFill="1" applyBorder="1" applyAlignment="1" applyProtection="1">
      <alignment wrapText="1"/>
    </xf>
    <xf numFmtId="169" fontId="22" fillId="0" borderId="0" xfId="2" applyNumberFormat="1" applyFont="1" applyFill="1" applyBorder="1"/>
    <xf numFmtId="0" fontId="22" fillId="0" borderId="12" xfId="0" applyFont="1" applyFill="1" applyBorder="1"/>
    <xf numFmtId="0" fontId="5" fillId="0" borderId="12" xfId="0" applyFont="1" applyFill="1" applyBorder="1" applyAlignment="1" applyProtection="1">
      <alignment horizontal="left"/>
    </xf>
    <xf numFmtId="0" fontId="10" fillId="0" borderId="12" xfId="0" applyFont="1" applyFill="1" applyBorder="1" applyAlignment="1" applyProtection="1">
      <alignment horizontal="centerContinuous"/>
    </xf>
    <xf numFmtId="170" fontId="10" fillId="0" borderId="12" xfId="0" applyNumberFormat="1" applyFont="1" applyFill="1" applyBorder="1" applyAlignment="1" applyProtection="1">
      <alignment horizontal="centerContinuous"/>
    </xf>
    <xf numFmtId="3" fontId="16" fillId="0" borderId="12" xfId="0" applyNumberFormat="1" applyFont="1" applyFill="1" applyBorder="1"/>
    <xf numFmtId="173" fontId="16" fillId="0" borderId="12" xfId="1" applyNumberFormat="1" applyFont="1" applyFill="1" applyBorder="1"/>
    <xf numFmtId="0" fontId="22" fillId="0" borderId="1" xfId="0" applyFont="1" applyFill="1" applyBorder="1"/>
    <xf numFmtId="0" fontId="22" fillId="0" borderId="6" xfId="0" applyFont="1" applyFill="1" applyBorder="1"/>
    <xf numFmtId="0" fontId="10" fillId="0" borderId="3" xfId="0" applyFont="1" applyFill="1" applyBorder="1" applyAlignment="1" applyProtection="1">
      <alignment horizontal="right"/>
    </xf>
    <xf numFmtId="0" fontId="5" fillId="0" borderId="3" xfId="0" applyFont="1" applyFill="1" applyBorder="1" applyAlignment="1" applyProtection="1">
      <alignment horizontal="left"/>
    </xf>
    <xf numFmtId="0" fontId="22" fillId="0" borderId="13" xfId="0" applyFont="1" applyFill="1" applyBorder="1"/>
    <xf numFmtId="0" fontId="22" fillId="0" borderId="11" xfId="0" applyFont="1" applyFill="1" applyBorder="1"/>
    <xf numFmtId="0" fontId="5" fillId="0" borderId="14" xfId="0" applyFont="1" applyFill="1" applyBorder="1" applyAlignment="1" applyProtection="1">
      <alignment horizontal="left"/>
    </xf>
    <xf numFmtId="0" fontId="7" fillId="0" borderId="3" xfId="0" applyFont="1" applyFill="1" applyBorder="1" applyAlignment="1" applyProtection="1">
      <alignment horizontal="centerContinuous"/>
    </xf>
    <xf numFmtId="0" fontId="22" fillId="0" borderId="3" xfId="0" applyFont="1" applyFill="1" applyBorder="1"/>
    <xf numFmtId="0" fontId="22" fillId="0" borderId="5" xfId="0" applyFont="1" applyFill="1" applyBorder="1"/>
    <xf numFmtId="10" fontId="23" fillId="0" borderId="3" xfId="0" applyNumberFormat="1" applyFont="1" applyFill="1" applyBorder="1"/>
    <xf numFmtId="170" fontId="10" fillId="0" borderId="3" xfId="0" applyNumberFormat="1" applyFont="1" applyFill="1" applyBorder="1" applyAlignment="1" applyProtection="1">
      <alignment horizontal="centerContinuous"/>
    </xf>
    <xf numFmtId="0" fontId="5" fillId="0" borderId="5" xfId="0" applyFont="1" applyFill="1" applyBorder="1" applyAlignment="1" applyProtection="1">
      <alignment horizontal="left"/>
    </xf>
    <xf numFmtId="0" fontId="10" fillId="0" borderId="11" xfId="0" applyFont="1" applyFill="1" applyBorder="1" applyAlignment="1" applyProtection="1">
      <alignment horizontal="centerContinuous"/>
    </xf>
    <xf numFmtId="170" fontId="10" fillId="0" borderId="11" xfId="0" applyNumberFormat="1" applyFont="1" applyFill="1" applyBorder="1" applyAlignment="1" applyProtection="1">
      <alignment horizontal="centerContinuous"/>
    </xf>
    <xf numFmtId="3" fontId="16" fillId="0" borderId="11" xfId="0" applyNumberFormat="1" applyFont="1" applyFill="1" applyBorder="1"/>
    <xf numFmtId="0" fontId="5" fillId="0" borderId="14" xfId="0" applyFont="1" applyFill="1" applyBorder="1" applyProtection="1"/>
    <xf numFmtId="0" fontId="10" fillId="0" borderId="3" xfId="0" applyFont="1" applyFill="1" applyBorder="1" applyAlignment="1" applyProtection="1">
      <alignment wrapText="1"/>
    </xf>
    <xf numFmtId="0" fontId="10" fillId="0" borderId="3" xfId="0" applyFont="1" applyFill="1" applyBorder="1" applyAlignment="1" applyProtection="1">
      <alignment horizontal="right" wrapText="1"/>
    </xf>
    <xf numFmtId="37" fontId="29" fillId="0" borderId="0" xfId="0" applyNumberFormat="1" applyFont="1" applyFill="1" applyBorder="1"/>
    <xf numFmtId="173" fontId="29" fillId="0" borderId="0" xfId="1" applyNumberFormat="1" applyFont="1" applyFill="1" applyBorder="1"/>
    <xf numFmtId="39" fontId="10" fillId="0" borderId="1" xfId="0" applyNumberFormat="1" applyFont="1" applyBorder="1" applyProtection="1"/>
    <xf numFmtId="5" fontId="27" fillId="0" borderId="1" xfId="0" applyNumberFormat="1" applyFont="1" applyBorder="1" applyProtection="1"/>
    <xf numFmtId="0" fontId="22" fillId="0" borderId="1" xfId="0" applyFont="1" applyBorder="1"/>
    <xf numFmtId="5" fontId="5" fillId="0" borderId="1" xfId="0" applyNumberFormat="1" applyFont="1" applyBorder="1" applyAlignment="1" applyProtection="1">
      <alignment horizontal="right"/>
    </xf>
    <xf numFmtId="5" fontId="5" fillId="0" borderId="1" xfId="0" applyNumberFormat="1" applyFont="1" applyBorder="1" applyProtection="1"/>
    <xf numFmtId="0" fontId="0" fillId="0" borderId="1" xfId="0" applyBorder="1"/>
    <xf numFmtId="2" fontId="0" fillId="0" borderId="1" xfId="0" applyNumberFormat="1" applyBorder="1"/>
    <xf numFmtId="5" fontId="6" fillId="0" borderId="1" xfId="0" applyNumberFormat="1" applyFont="1" applyBorder="1" applyProtection="1"/>
    <xf numFmtId="37" fontId="10" fillId="0" borderId="11" xfId="0" applyNumberFormat="1" applyFont="1" applyBorder="1" applyProtection="1"/>
    <xf numFmtId="37" fontId="5" fillId="0" borderId="3" xfId="0" applyNumberFormat="1" applyFont="1" applyBorder="1" applyProtection="1"/>
    <xf numFmtId="37" fontId="10" fillId="0" borderId="3" xfId="0" applyNumberFormat="1" applyFont="1" applyBorder="1" applyAlignment="1" applyProtection="1">
      <alignment horizontal="left" indent="1"/>
    </xf>
    <xf numFmtId="37" fontId="10" fillId="0" borderId="3" xfId="0" applyNumberFormat="1" applyFont="1" applyBorder="1" applyAlignment="1" applyProtection="1">
      <alignment horizontal="left" indent="2"/>
    </xf>
    <xf numFmtId="0" fontId="27" fillId="0" borderId="3" xfId="0" applyFont="1" applyBorder="1" applyAlignment="1" applyProtection="1">
      <alignment horizontal="left" indent="1"/>
    </xf>
    <xf numFmtId="0" fontId="22" fillId="0" borderId="3" xfId="0" applyFont="1" applyBorder="1" applyAlignment="1">
      <alignment horizontal="left" indent="1"/>
    </xf>
    <xf numFmtId="37" fontId="10" fillId="0" borderId="3" xfId="0" applyNumberFormat="1" applyFont="1" applyFill="1" applyBorder="1" applyAlignment="1" applyProtection="1">
      <alignment horizontal="left" indent="2"/>
    </xf>
    <xf numFmtId="37" fontId="27" fillId="0" borderId="3" xfId="0" applyNumberFormat="1" applyFont="1" applyBorder="1" applyAlignment="1" applyProtection="1">
      <alignment horizontal="left" indent="1"/>
    </xf>
    <xf numFmtId="37" fontId="5" fillId="0" borderId="3" xfId="0" applyNumberFormat="1" applyFont="1" applyBorder="1" applyAlignment="1" applyProtection="1">
      <alignment horizontal="left" indent="1"/>
    </xf>
    <xf numFmtId="37" fontId="10" fillId="0" borderId="3" xfId="0" applyNumberFormat="1" applyFont="1" applyBorder="1" applyProtection="1"/>
    <xf numFmtId="0" fontId="0" fillId="0" borderId="3" xfId="0" applyBorder="1"/>
    <xf numFmtId="0" fontId="0" fillId="0" borderId="3" xfId="0" applyBorder="1" applyAlignment="1">
      <alignment horizontal="right"/>
    </xf>
    <xf numFmtId="0" fontId="10" fillId="0" borderId="3" xfId="0" applyFont="1" applyBorder="1" applyAlignment="1" applyProtection="1">
      <alignment horizontal="right"/>
    </xf>
    <xf numFmtId="0" fontId="6" fillId="0" borderId="3" xfId="0" applyFont="1" applyBorder="1" applyProtection="1"/>
    <xf numFmtId="0" fontId="6" fillId="0" borderId="5" xfId="0" applyFont="1" applyBorder="1" applyProtection="1"/>
    <xf numFmtId="0" fontId="6" fillId="0" borderId="11" xfId="0" applyFont="1" applyBorder="1" applyProtection="1"/>
    <xf numFmtId="5" fontId="6" fillId="0" borderId="6" xfId="0" applyNumberFormat="1" applyFont="1" applyBorder="1" applyProtection="1"/>
    <xf numFmtId="37" fontId="10" fillId="0" borderId="0" xfId="0" applyNumberFormat="1" applyFont="1" applyBorder="1" applyProtection="1"/>
    <xf numFmtId="37" fontId="5" fillId="0" borderId="12" xfId="0" applyNumberFormat="1" applyFont="1" applyBorder="1" applyProtection="1"/>
    <xf numFmtId="37" fontId="10" fillId="0" borderId="12" xfId="0" applyNumberFormat="1" applyFont="1" applyBorder="1" applyProtection="1"/>
    <xf numFmtId="37" fontId="5" fillId="0" borderId="0" xfId="0" applyNumberFormat="1" applyFont="1" applyFill="1" applyBorder="1" applyProtection="1"/>
    <xf numFmtId="37" fontId="6" fillId="0" borderId="12" xfId="0" applyNumberFormat="1" applyFont="1" applyBorder="1" applyProtection="1"/>
    <xf numFmtId="0" fontId="0" fillId="0" borderId="12" xfId="0" applyBorder="1"/>
    <xf numFmtId="0" fontId="0" fillId="0" borderId="13" xfId="0" applyFill="1" applyBorder="1"/>
    <xf numFmtId="0" fontId="0" fillId="0" borderId="1" xfId="0" applyFill="1" applyBorder="1" applyAlignment="1">
      <alignment horizontal="right"/>
    </xf>
    <xf numFmtId="10" fontId="6" fillId="0" borderId="1" xfId="0" applyNumberFormat="1" applyFont="1" applyFill="1" applyBorder="1" applyProtection="1"/>
    <xf numFmtId="0" fontId="6" fillId="0" borderId="1" xfId="0" applyFont="1" applyFill="1" applyBorder="1" applyProtection="1"/>
    <xf numFmtId="37" fontId="22" fillId="0" borderId="0" xfId="0" applyNumberFormat="1" applyFont="1" applyFill="1" applyBorder="1" applyProtection="1"/>
    <xf numFmtId="37" fontId="10" fillId="0" borderId="4" xfId="0" applyNumberFormat="1" applyFont="1" applyBorder="1" applyProtection="1"/>
    <xf numFmtId="0" fontId="0" fillId="0" borderId="4" xfId="0" applyBorder="1"/>
    <xf numFmtId="37" fontId="6" fillId="0" borderId="5" xfId="0" applyNumberFormat="1" applyFont="1" applyBorder="1" applyProtection="1"/>
    <xf numFmtId="0" fontId="6" fillId="0" borderId="11" xfId="0" applyFont="1" applyBorder="1" applyAlignment="1" applyProtection="1">
      <alignment horizontal="right"/>
    </xf>
    <xf numFmtId="2" fontId="0" fillId="0" borderId="11" xfId="0" applyNumberFormat="1" applyBorder="1"/>
    <xf numFmtId="0" fontId="6" fillId="0" borderId="1" xfId="0" applyFont="1" applyBorder="1" applyProtection="1"/>
    <xf numFmtId="0" fontId="6" fillId="0" borderId="6" xfId="0" applyFont="1" applyBorder="1" applyProtection="1"/>
    <xf numFmtId="167" fontId="6" fillId="0" borderId="12" xfId="0" applyNumberFormat="1" applyFont="1" applyBorder="1" applyProtection="1"/>
    <xf numFmtId="0" fontId="6" fillId="0" borderId="12" xfId="0" applyFont="1" applyBorder="1" applyProtection="1"/>
    <xf numFmtId="0" fontId="10" fillId="0" borderId="15" xfId="0" applyFont="1" applyBorder="1" applyProtection="1"/>
    <xf numFmtId="0" fontId="6" fillId="0" borderId="15" xfId="0" applyFont="1" applyBorder="1" applyProtection="1"/>
    <xf numFmtId="37" fontId="5" fillId="0" borderId="0" xfId="0" applyNumberFormat="1" applyFont="1" applyBorder="1" applyProtection="1"/>
    <xf numFmtId="169" fontId="6" fillId="2" borderId="16" xfId="2" applyNumberFormat="1" applyFont="1" applyFill="1" applyBorder="1" applyProtection="1"/>
    <xf numFmtId="9" fontId="10" fillId="2" borderId="16" xfId="7" applyNumberFormat="1" applyFont="1" applyFill="1" applyBorder="1" applyProtection="1"/>
    <xf numFmtId="9" fontId="10" fillId="2" borderId="17" xfId="0" applyNumberFormat="1" applyFont="1" applyFill="1" applyBorder="1" applyProtection="1"/>
    <xf numFmtId="2" fontId="0" fillId="2" borderId="17" xfId="0" applyNumberFormat="1" applyFill="1" applyBorder="1"/>
    <xf numFmtId="2" fontId="0" fillId="2" borderId="18" xfId="0" applyNumberFormat="1" applyFill="1" applyBorder="1"/>
    <xf numFmtId="0" fontId="6" fillId="0" borderId="0" xfId="0" applyFont="1" applyBorder="1" applyAlignment="1" applyProtection="1">
      <alignment horizontal="center"/>
    </xf>
    <xf numFmtId="0" fontId="5" fillId="0" borderId="0" xfId="0" applyFont="1" applyBorder="1" applyAlignment="1" applyProtection="1">
      <alignment horizontal="left"/>
    </xf>
    <xf numFmtId="0" fontId="6" fillId="0" borderId="0" xfId="0" applyFont="1" applyBorder="1" applyAlignment="1" applyProtection="1">
      <alignment horizontal="centerContinuous"/>
    </xf>
    <xf numFmtId="173" fontId="0" fillId="0" borderId="0" xfId="1" applyNumberFormat="1" applyFont="1" applyBorder="1"/>
    <xf numFmtId="37" fontId="10" fillId="0" borderId="4" xfId="0" applyNumberFormat="1" applyFont="1" applyBorder="1" applyAlignment="1" applyProtection="1">
      <alignment horizontal="left" indent="2"/>
    </xf>
    <xf numFmtId="10" fontId="6" fillId="0" borderId="0" xfId="0" applyNumberFormat="1" applyFont="1" applyBorder="1" applyProtection="1"/>
    <xf numFmtId="0" fontId="0" fillId="0" borderId="6" xfId="0" applyBorder="1"/>
    <xf numFmtId="0" fontId="0" fillId="0" borderId="5" xfId="0" applyBorder="1"/>
    <xf numFmtId="37" fontId="6" fillId="0" borderId="3" xfId="0" applyNumberFormat="1" applyFont="1" applyBorder="1" applyProtection="1"/>
    <xf numFmtId="10" fontId="22" fillId="0" borderId="0" xfId="0" applyNumberFormat="1" applyFont="1" applyFill="1" applyBorder="1" applyProtection="1"/>
    <xf numFmtId="169" fontId="6" fillId="0" borderId="0" xfId="2" applyNumberFormat="1" applyFont="1" applyAlignment="1" applyProtection="1">
      <alignment horizontal="right"/>
    </xf>
    <xf numFmtId="169" fontId="18" fillId="0" borderId="0" xfId="2" applyNumberFormat="1" applyFont="1" applyAlignment="1" applyProtection="1">
      <alignment horizontal="right"/>
    </xf>
    <xf numFmtId="169" fontId="0" fillId="0" borderId="0" xfId="2" applyNumberFormat="1" applyFont="1" applyAlignment="1">
      <alignment horizontal="right"/>
    </xf>
    <xf numFmtId="169" fontId="18" fillId="0" borderId="0" xfId="2" applyNumberFormat="1" applyFont="1" applyAlignment="1">
      <alignment horizontal="right"/>
    </xf>
    <xf numFmtId="0" fontId="6" fillId="0" borderId="1" xfId="0" applyFont="1" applyBorder="1" applyAlignment="1" applyProtection="1">
      <alignment horizontal="right"/>
    </xf>
    <xf numFmtId="164" fontId="6" fillId="2" borderId="17" xfId="0" applyNumberFormat="1" applyFont="1" applyFill="1" applyBorder="1" applyProtection="1"/>
    <xf numFmtId="37" fontId="6" fillId="2" borderId="17" xfId="0" applyNumberFormat="1" applyFont="1" applyFill="1" applyBorder="1" applyAlignment="1" applyProtection="1">
      <alignment horizontal="right"/>
    </xf>
    <xf numFmtId="168" fontId="6" fillId="2" borderId="17" xfId="0" applyNumberFormat="1" applyFont="1" applyFill="1" applyBorder="1" applyProtection="1"/>
    <xf numFmtId="0" fontId="22" fillId="0" borderId="9" xfId="0" applyFont="1" applyFill="1" applyBorder="1"/>
    <xf numFmtId="0" fontId="10" fillId="0" borderId="19" xfId="0" applyFont="1" applyFill="1" applyBorder="1" applyProtection="1"/>
    <xf numFmtId="0" fontId="22" fillId="0" borderId="11" xfId="0" applyFont="1" applyBorder="1"/>
    <xf numFmtId="0" fontId="22" fillId="0" borderId="19" xfId="0" applyFont="1" applyFill="1" applyBorder="1"/>
    <xf numFmtId="1" fontId="22" fillId="0" borderId="0" xfId="0" applyNumberFormat="1" applyFont="1" applyFill="1" applyBorder="1"/>
    <xf numFmtId="9" fontId="16" fillId="0" borderId="0" xfId="7" applyFont="1" applyFill="1" applyBorder="1"/>
    <xf numFmtId="173" fontId="16" fillId="0" borderId="11" xfId="1" applyNumberFormat="1" applyFont="1" applyFill="1" applyBorder="1"/>
    <xf numFmtId="0" fontId="10" fillId="0" borderId="11" xfId="0" applyFont="1" applyFill="1" applyBorder="1" applyProtection="1"/>
    <xf numFmtId="0" fontId="22" fillId="0" borderId="1" xfId="0" applyFont="1" applyFill="1" applyBorder="1" applyAlignment="1">
      <alignment wrapText="1"/>
    </xf>
    <xf numFmtId="5" fontId="22" fillId="0" borderId="0" xfId="0" applyNumberFormat="1" applyFont="1" applyFill="1" applyBorder="1"/>
    <xf numFmtId="0" fontId="5" fillId="0" borderId="0" xfId="0" applyFont="1" applyFill="1" applyBorder="1" applyAlignment="1" applyProtection="1">
      <alignment wrapText="1"/>
    </xf>
    <xf numFmtId="9" fontId="10" fillId="0" borderId="0" xfId="0" applyNumberFormat="1" applyFont="1" applyFill="1" applyBorder="1" applyAlignment="1" applyProtection="1">
      <alignment wrapText="1"/>
    </xf>
    <xf numFmtId="0" fontId="6" fillId="0" borderId="19" xfId="0" applyFont="1" applyBorder="1" applyProtection="1"/>
    <xf numFmtId="0" fontId="6" fillId="0" borderId="19" xfId="0" applyFont="1" applyBorder="1" applyAlignment="1" applyProtection="1">
      <alignment horizontal="center"/>
    </xf>
    <xf numFmtId="10" fontId="0" fillId="0" borderId="11" xfId="0" applyNumberFormat="1" applyFill="1" applyBorder="1"/>
    <xf numFmtId="0" fontId="0" fillId="0" borderId="0" xfId="0" applyBorder="1" applyAlignment="1">
      <alignment horizontal="center"/>
    </xf>
    <xf numFmtId="0" fontId="16" fillId="0" borderId="0" xfId="0" applyFont="1" applyAlignment="1">
      <alignment horizontal="center"/>
    </xf>
    <xf numFmtId="0" fontId="0" fillId="0" borderId="0" xfId="0" applyAlignment="1">
      <alignment horizontal="center"/>
    </xf>
    <xf numFmtId="9" fontId="0" fillId="0" borderId="0" xfId="0" applyNumberFormat="1" applyAlignment="1">
      <alignment horizontal="center"/>
    </xf>
    <xf numFmtId="0" fontId="0" fillId="2" borderId="8" xfId="0" applyFill="1" applyBorder="1"/>
    <xf numFmtId="0" fontId="0" fillId="0" borderId="22" xfId="0" applyBorder="1"/>
    <xf numFmtId="0" fontId="16" fillId="0" borderId="23" xfId="0" applyFont="1" applyBorder="1" applyAlignment="1">
      <alignment horizontal="center"/>
    </xf>
    <xf numFmtId="173" fontId="16" fillId="0" borderId="23" xfId="1" applyNumberFormat="1" applyFont="1" applyBorder="1"/>
    <xf numFmtId="0" fontId="16" fillId="0" borderId="24" xfId="0" applyFont="1" applyBorder="1"/>
    <xf numFmtId="0" fontId="32" fillId="0" borderId="21" xfId="0" applyFont="1" applyBorder="1"/>
    <xf numFmtId="0" fontId="0" fillId="0" borderId="20" xfId="0" applyBorder="1"/>
    <xf numFmtId="0" fontId="0" fillId="0" borderId="21" xfId="0" applyBorder="1"/>
    <xf numFmtId="173" fontId="0" fillId="0" borderId="20" xfId="1" applyNumberFormat="1" applyFont="1" applyBorder="1"/>
    <xf numFmtId="173" fontId="32" fillId="0" borderId="0" xfId="1" applyNumberFormat="1" applyFont="1" applyBorder="1"/>
    <xf numFmtId="173" fontId="32" fillId="0" borderId="20" xfId="1" applyNumberFormat="1" applyFont="1" applyBorder="1"/>
    <xf numFmtId="0" fontId="16" fillId="0" borderId="21" xfId="0" applyFont="1" applyBorder="1"/>
    <xf numFmtId="0" fontId="32" fillId="0" borderId="21" xfId="0" applyFont="1" applyBorder="1" applyAlignment="1">
      <alignment horizontal="right"/>
    </xf>
    <xf numFmtId="0" fontId="34" fillId="0" borderId="0" xfId="0" applyFont="1" applyBorder="1" applyAlignment="1">
      <alignment horizontal="center"/>
    </xf>
    <xf numFmtId="0" fontId="16" fillId="0" borderId="25" xfId="0" applyFont="1" applyBorder="1"/>
    <xf numFmtId="0" fontId="0" fillId="0" borderId="7" xfId="0" applyBorder="1" applyAlignment="1">
      <alignment horizontal="center"/>
    </xf>
    <xf numFmtId="173" fontId="0" fillId="0" borderId="26" xfId="1" applyNumberFormat="1" applyFont="1" applyBorder="1"/>
    <xf numFmtId="9" fontId="0" fillId="0" borderId="20" xfId="7" applyFont="1" applyBorder="1"/>
    <xf numFmtId="9" fontId="0" fillId="0" borderId="20" xfId="0" applyNumberFormat="1" applyBorder="1"/>
    <xf numFmtId="0" fontId="0" fillId="0" borderId="25" xfId="0" applyBorder="1"/>
    <xf numFmtId="0" fontId="0" fillId="0" borderId="7" xfId="0" applyBorder="1"/>
    <xf numFmtId="9" fontId="0" fillId="0" borderId="26" xfId="7" applyFont="1" applyBorder="1"/>
    <xf numFmtId="173" fontId="0" fillId="0" borderId="20" xfId="0" applyNumberFormat="1" applyBorder="1"/>
    <xf numFmtId="173" fontId="16" fillId="0" borderId="7" xfId="1" applyNumberFormat="1" applyFont="1" applyBorder="1"/>
    <xf numFmtId="173" fontId="16" fillId="0" borderId="26" xfId="1" applyNumberFormat="1" applyFont="1" applyBorder="1"/>
    <xf numFmtId="0" fontId="5" fillId="2" borderId="17" xfId="0" applyFont="1" applyFill="1" applyBorder="1" applyProtection="1"/>
    <xf numFmtId="0" fontId="16" fillId="0" borderId="0" xfId="0" applyFont="1" applyAlignment="1" applyProtection="1"/>
    <xf numFmtId="0" fontId="16" fillId="0" borderId="0" xfId="0" applyFont="1" applyAlignment="1">
      <alignment horizontal="left"/>
    </xf>
    <xf numFmtId="0" fontId="6" fillId="0" borderId="17" xfId="0" applyFont="1" applyBorder="1" applyAlignment="1" applyProtection="1">
      <alignment horizontal="left"/>
    </xf>
    <xf numFmtId="3" fontId="5" fillId="0" borderId="0" xfId="0" applyNumberFormat="1" applyFont="1" applyAlignment="1" applyProtection="1">
      <alignment horizontal="centerContinuous"/>
    </xf>
    <xf numFmtId="173" fontId="16" fillId="0" borderId="0" xfId="1" applyNumberFormat="1" applyFont="1" applyAlignment="1">
      <alignment horizontal="left"/>
    </xf>
    <xf numFmtId="173" fontId="16" fillId="0" borderId="0" xfId="1" applyNumberFormat="1" applyFont="1" applyAlignment="1"/>
    <xf numFmtId="0" fontId="34" fillId="0" borderId="0" xfId="0" applyFont="1"/>
    <xf numFmtId="37" fontId="10" fillId="0" borderId="0" xfId="0" applyNumberFormat="1" applyFont="1" applyFill="1" applyBorder="1" applyAlignment="1" applyProtection="1">
      <alignment horizontal="fill"/>
    </xf>
    <xf numFmtId="169" fontId="10" fillId="0" borderId="11" xfId="2" applyNumberFormat="1" applyFont="1" applyBorder="1" applyAlignment="1" applyProtection="1">
      <alignment horizontal="right"/>
    </xf>
    <xf numFmtId="41" fontId="22" fillId="0" borderId="0" xfId="0" applyNumberFormat="1" applyFont="1" applyBorder="1"/>
    <xf numFmtId="3" fontId="22" fillId="2" borderId="17" xfId="0" applyNumberFormat="1" applyFont="1" applyFill="1" applyBorder="1" applyAlignment="1">
      <alignment horizontal="center"/>
    </xf>
    <xf numFmtId="169" fontId="22" fillId="2" borderId="17" xfId="2" applyNumberFormat="1" applyFont="1" applyFill="1" applyBorder="1" applyAlignment="1">
      <alignment horizontal="center"/>
    </xf>
    <xf numFmtId="0" fontId="0" fillId="0" borderId="21" xfId="0" applyFill="1" applyBorder="1"/>
    <xf numFmtId="170" fontId="16" fillId="0" borderId="0" xfId="0" applyNumberFormat="1" applyFont="1"/>
    <xf numFmtId="10" fontId="6" fillId="2" borderId="0" xfId="0" applyNumberFormat="1" applyFont="1" applyFill="1" applyBorder="1" applyProtection="1"/>
    <xf numFmtId="173" fontId="32" fillId="0" borderId="20" xfId="0" applyNumberFormat="1" applyFont="1" applyBorder="1"/>
    <xf numFmtId="0" fontId="10" fillId="0" borderId="3" xfId="0" applyFont="1" applyBorder="1" applyAlignment="1" applyProtection="1">
      <alignment horizontal="right" indent="1"/>
    </xf>
    <xf numFmtId="170" fontId="3" fillId="0" borderId="0" xfId="6" applyNumberFormat="1"/>
    <xf numFmtId="0" fontId="3" fillId="0" borderId="0" xfId="6"/>
    <xf numFmtId="0" fontId="36" fillId="0" borderId="0" xfId="6" applyFont="1" applyAlignment="1">
      <alignment horizontal="left"/>
    </xf>
    <xf numFmtId="0" fontId="36" fillId="0" borderId="0" xfId="6" applyFont="1"/>
    <xf numFmtId="0" fontId="36" fillId="0" borderId="0" xfId="6" applyFont="1" applyAlignment="1">
      <alignment horizontal="center"/>
    </xf>
    <xf numFmtId="0" fontId="3" fillId="0" borderId="0" xfId="6" applyAlignment="1">
      <alignment horizontal="left"/>
    </xf>
    <xf numFmtId="170" fontId="3" fillId="0" borderId="7" xfId="6" applyNumberFormat="1" applyBorder="1" applyAlignment="1">
      <alignment horizontal="center"/>
    </xf>
    <xf numFmtId="0" fontId="23" fillId="0" borderId="0" xfId="6" applyFont="1" applyAlignment="1">
      <alignment horizontal="left"/>
    </xf>
    <xf numFmtId="0" fontId="3" fillId="0" borderId="0" xfId="6" applyAlignment="1">
      <alignment horizontal="center"/>
    </xf>
    <xf numFmtId="0" fontId="23" fillId="0" borderId="0" xfId="6" applyFont="1"/>
    <xf numFmtId="3" fontId="3" fillId="0" borderId="7" xfId="6" applyNumberFormat="1" applyBorder="1" applyAlignment="1">
      <alignment horizontal="center"/>
    </xf>
    <xf numFmtId="3" fontId="36" fillId="0" borderId="7" xfId="6" applyNumberFormat="1" applyFont="1" applyBorder="1" applyAlignment="1">
      <alignment horizontal="center"/>
    </xf>
    <xf numFmtId="0" fontId="36" fillId="0" borderId="0" xfId="6" applyFont="1" applyAlignment="1">
      <alignment horizontal="left" wrapText="1"/>
    </xf>
    <xf numFmtId="0" fontId="3" fillId="0" borderId="0" xfId="6" applyAlignment="1">
      <alignment wrapText="1"/>
    </xf>
    <xf numFmtId="0" fontId="37" fillId="0" borderId="0" xfId="6" applyFont="1" applyAlignment="1">
      <alignment horizontal="center" wrapText="1"/>
    </xf>
    <xf numFmtId="0" fontId="37" fillId="0" borderId="0" xfId="6" applyFont="1" applyAlignment="1" applyProtection="1">
      <alignment horizontal="center" wrapText="1"/>
    </xf>
    <xf numFmtId="0" fontId="37" fillId="0" borderId="0" xfId="6" applyFont="1" applyAlignment="1">
      <alignment wrapText="1"/>
    </xf>
    <xf numFmtId="0" fontId="36" fillId="0" borderId="0" xfId="6" applyFont="1" applyAlignment="1">
      <alignment horizontal="center" wrapText="1"/>
    </xf>
    <xf numFmtId="0" fontId="37" fillId="0" borderId="0" xfId="6" applyFont="1" applyAlignment="1">
      <alignment horizontal="left"/>
    </xf>
    <xf numFmtId="0" fontId="37" fillId="0" borderId="0" xfId="6" applyFont="1"/>
    <xf numFmtId="0" fontId="3" fillId="0" borderId="7" xfId="6" applyBorder="1" applyAlignment="1" applyProtection="1">
      <alignment horizontal="center"/>
      <protection locked="0"/>
    </xf>
    <xf numFmtId="0" fontId="3" fillId="0" borderId="0" xfId="6" applyBorder="1" applyAlignment="1" applyProtection="1">
      <alignment horizontal="center"/>
    </xf>
    <xf numFmtId="0" fontId="3" fillId="0" borderId="0" xfId="6" applyBorder="1" applyAlignment="1">
      <alignment horizontal="center"/>
    </xf>
    <xf numFmtId="170" fontId="36" fillId="0" borderId="7" xfId="6" applyNumberFormat="1" applyFont="1" applyBorder="1" applyAlignment="1">
      <alignment horizontal="center"/>
    </xf>
    <xf numFmtId="170" fontId="3" fillId="0" borderId="27" xfId="6" applyNumberFormat="1" applyBorder="1" applyProtection="1">
      <protection locked="0"/>
    </xf>
    <xf numFmtId="170" fontId="3" fillId="0" borderId="0" xfId="6" applyNumberFormat="1" applyBorder="1" applyProtection="1"/>
    <xf numFmtId="170" fontId="36" fillId="0" borderId="7" xfId="6" applyNumberFormat="1" applyFont="1" applyBorder="1"/>
    <xf numFmtId="170" fontId="36" fillId="0" borderId="27" xfId="6" applyNumberFormat="1" applyFont="1" applyBorder="1"/>
    <xf numFmtId="170" fontId="36" fillId="0" borderId="0" xfId="6" applyNumberFormat="1" applyFont="1" applyBorder="1" applyProtection="1"/>
    <xf numFmtId="170" fontId="36" fillId="0" borderId="0" xfId="6" applyNumberFormat="1" applyFont="1"/>
    <xf numFmtId="170" fontId="36" fillId="0" borderId="0" xfId="6" applyNumberFormat="1" applyFont="1" applyBorder="1"/>
    <xf numFmtId="170" fontId="3" fillId="0" borderId="0" xfId="6" applyNumberFormat="1" applyBorder="1"/>
    <xf numFmtId="0" fontId="36" fillId="0" borderId="0" xfId="6" applyFont="1" applyBorder="1" applyAlignment="1"/>
    <xf numFmtId="0" fontId="36" fillId="0" borderId="0" xfId="6" applyFont="1" applyBorder="1" applyAlignment="1">
      <alignment horizontal="center"/>
    </xf>
    <xf numFmtId="170" fontId="3" fillId="0" borderId="0" xfId="6" applyNumberFormat="1" applyBorder="1" applyProtection="1">
      <protection locked="0"/>
    </xf>
    <xf numFmtId="0" fontId="23" fillId="0" borderId="0" xfId="6" applyFont="1" applyBorder="1" applyAlignment="1">
      <alignment wrapText="1"/>
    </xf>
    <xf numFmtId="0" fontId="23" fillId="0" borderId="21" xfId="6" applyFont="1" applyBorder="1" applyAlignment="1">
      <alignment wrapText="1"/>
    </xf>
    <xf numFmtId="170" fontId="3" fillId="0" borderId="7" xfId="6" applyNumberFormat="1" applyBorder="1" applyProtection="1">
      <protection locked="0"/>
    </xf>
    <xf numFmtId="170" fontId="36" fillId="0" borderId="7" xfId="6" applyNumberFormat="1" applyFont="1" applyBorder="1" applyProtection="1">
      <protection locked="0"/>
    </xf>
    <xf numFmtId="0" fontId="3" fillId="0" borderId="0" xfId="6" applyBorder="1"/>
    <xf numFmtId="3" fontId="3" fillId="0" borderId="0" xfId="6" applyNumberFormat="1" applyBorder="1"/>
    <xf numFmtId="0" fontId="36" fillId="0" borderId="0" xfId="6" applyFont="1" applyBorder="1"/>
    <xf numFmtId="0" fontId="36" fillId="0" borderId="0" xfId="6" applyFont="1" applyBorder="1" applyAlignment="1">
      <alignment wrapText="1"/>
    </xf>
    <xf numFmtId="0" fontId="3" fillId="0" borderId="0" xfId="6" applyBorder="1" applyProtection="1"/>
    <xf numFmtId="170" fontId="36" fillId="0" borderId="7" xfId="6" applyNumberFormat="1" applyFont="1" applyBorder="1" applyProtection="1"/>
    <xf numFmtId="0" fontId="3" fillId="0" borderId="7" xfId="6" applyNumberFormat="1" applyBorder="1" applyProtection="1">
      <protection locked="0"/>
    </xf>
    <xf numFmtId="0" fontId="3" fillId="0" borderId="0" xfId="6" applyNumberFormat="1" applyBorder="1" applyProtection="1"/>
    <xf numFmtId="0" fontId="36" fillId="0" borderId="7" xfId="6" applyNumberFormat="1" applyFont="1" applyBorder="1" applyProtection="1">
      <protection locked="0"/>
    </xf>
    <xf numFmtId="170" fontId="22" fillId="2" borderId="0" xfId="0" applyNumberFormat="1" applyFont="1" applyFill="1"/>
    <xf numFmtId="41" fontId="22" fillId="2" borderId="0" xfId="0" applyNumberFormat="1" applyFont="1" applyFill="1" applyAlignment="1"/>
    <xf numFmtId="0" fontId="5" fillId="0" borderId="17" xfId="0" applyFont="1" applyFill="1" applyBorder="1" applyProtection="1"/>
    <xf numFmtId="0" fontId="16" fillId="0" borderId="0" xfId="0" applyFont="1" applyFill="1" applyAlignment="1" applyProtection="1">
      <alignment horizontal="right"/>
    </xf>
    <xf numFmtId="44" fontId="22" fillId="2" borderId="17" xfId="2" applyFont="1" applyFill="1" applyBorder="1" applyAlignment="1">
      <alignment horizontal="center"/>
    </xf>
    <xf numFmtId="0" fontId="22" fillId="0" borderId="7" xfId="0" applyFont="1" applyBorder="1" applyAlignment="1">
      <alignment horizontal="center"/>
    </xf>
    <xf numFmtId="3" fontId="22" fillId="0" borderId="17" xfId="0" applyNumberFormat="1" applyFont="1" applyFill="1" applyBorder="1" applyAlignment="1">
      <alignment horizontal="center"/>
    </xf>
    <xf numFmtId="41" fontId="22" fillId="2" borderId="1" xfId="0" applyNumberFormat="1" applyFont="1" applyFill="1" applyBorder="1"/>
    <xf numFmtId="41" fontId="10" fillId="2" borderId="0" xfId="0" applyNumberFormat="1" applyFont="1" applyFill="1" applyBorder="1" applyProtection="1"/>
    <xf numFmtId="41" fontId="28" fillId="2" borderId="0" xfId="0" applyNumberFormat="1" applyFont="1" applyFill="1" applyBorder="1" applyProtection="1"/>
    <xf numFmtId="41" fontId="22" fillId="2" borderId="4" xfId="0" applyNumberFormat="1" applyFont="1" applyFill="1" applyBorder="1"/>
    <xf numFmtId="41" fontId="5" fillId="2" borderId="4" xfId="0" applyNumberFormat="1" applyFont="1" applyFill="1" applyBorder="1" applyProtection="1"/>
    <xf numFmtId="0" fontId="0" fillId="0" borderId="0" xfId="0" applyFill="1"/>
    <xf numFmtId="0" fontId="3" fillId="0" borderId="0" xfId="6" applyFill="1"/>
    <xf numFmtId="0" fontId="35" fillId="0" borderId="0" xfId="6" applyFont="1" applyFill="1"/>
    <xf numFmtId="0" fontId="36" fillId="0" borderId="0" xfId="6" applyFont="1" applyAlignment="1">
      <alignment horizontal="right"/>
    </xf>
    <xf numFmtId="0" fontId="36" fillId="0" borderId="0" xfId="6" applyFont="1" applyFill="1"/>
    <xf numFmtId="0" fontId="36" fillId="3" borderId="0" xfId="6" applyFont="1" applyFill="1"/>
    <xf numFmtId="0" fontId="16" fillId="0" borderId="0" xfId="6" applyFont="1"/>
    <xf numFmtId="0" fontId="16" fillId="0" borderId="0" xfId="6" applyFont="1" applyFill="1"/>
    <xf numFmtId="0" fontId="16" fillId="3" borderId="0" xfId="6" applyFont="1" applyFill="1"/>
    <xf numFmtId="0" fontId="3" fillId="0" borderId="0" xfId="6" applyFont="1" applyFill="1"/>
    <xf numFmtId="0" fontId="22" fillId="0" borderId="0" xfId="5" applyFont="1" applyFill="1" applyBorder="1" applyAlignment="1">
      <alignment horizontal="center" wrapText="1"/>
    </xf>
    <xf numFmtId="0" fontId="22" fillId="0" borderId="0" xfId="5" applyFont="1" applyFill="1" applyBorder="1" applyAlignment="1">
      <alignment horizontal="center"/>
    </xf>
    <xf numFmtId="173" fontId="22" fillId="0" borderId="0" xfId="1" applyNumberFormat="1" applyFont="1" applyFill="1" applyBorder="1"/>
    <xf numFmtId="0" fontId="16" fillId="4" borderId="27" xfId="5" applyFont="1" applyFill="1" applyBorder="1" applyAlignment="1">
      <alignment horizontal="center"/>
    </xf>
    <xf numFmtId="3" fontId="22" fillId="4" borderId="28" xfId="0" applyNumberFormat="1" applyFont="1" applyFill="1" applyBorder="1" applyAlignment="1">
      <alignment horizontal="center"/>
    </xf>
    <xf numFmtId="9" fontId="22" fillId="0" borderId="0" xfId="5" applyNumberFormat="1" applyFont="1" applyFill="1" applyBorder="1" applyAlignment="1">
      <alignment horizontal="center"/>
    </xf>
    <xf numFmtId="43" fontId="22" fillId="0" borderId="0" xfId="5" applyNumberFormat="1" applyFont="1" applyFill="1" applyBorder="1" applyAlignment="1">
      <alignment horizontal="center"/>
    </xf>
    <xf numFmtId="0" fontId="22" fillId="0" borderId="1" xfId="5" applyFont="1" applyFill="1" applyBorder="1" applyAlignment="1">
      <alignment horizontal="center" wrapText="1"/>
    </xf>
    <xf numFmtId="0" fontId="5" fillId="0" borderId="11" xfId="0" applyFont="1" applyFill="1" applyBorder="1" applyAlignment="1" applyProtection="1">
      <alignment horizontal="right"/>
    </xf>
    <xf numFmtId="173" fontId="22" fillId="0" borderId="1" xfId="1" applyNumberFormat="1" applyFont="1" applyFill="1" applyBorder="1"/>
    <xf numFmtId="0" fontId="22" fillId="0" borderId="29" xfId="0" applyFont="1" applyBorder="1" applyAlignment="1">
      <alignment horizontal="center"/>
    </xf>
    <xf numFmtId="0" fontId="22" fillId="0" borderId="1" xfId="0" applyFont="1" applyBorder="1" applyAlignment="1">
      <alignment horizontal="center"/>
    </xf>
    <xf numFmtId="0" fontId="22" fillId="0" borderId="10" xfId="0" applyFont="1" applyBorder="1"/>
    <xf numFmtId="0" fontId="22" fillId="4" borderId="2" xfId="5" applyFont="1" applyFill="1" applyBorder="1" applyAlignment="1">
      <alignment horizontal="center" wrapText="1"/>
    </xf>
    <xf numFmtId="0" fontId="22" fillId="0" borderId="3" xfId="5" applyFont="1" applyFill="1" applyBorder="1" applyAlignment="1">
      <alignment horizontal="right"/>
    </xf>
    <xf numFmtId="0" fontId="22" fillId="0" borderId="5" xfId="5" applyFont="1" applyFill="1" applyBorder="1" applyAlignment="1">
      <alignment horizontal="right"/>
    </xf>
    <xf numFmtId="0" fontId="22" fillId="0" borderId="11" xfId="5" applyFont="1" applyFill="1" applyBorder="1" applyAlignment="1">
      <alignment horizontal="center"/>
    </xf>
    <xf numFmtId="0" fontId="22" fillId="0" borderId="2" xfId="0" applyFont="1" applyBorder="1" applyAlignment="1">
      <alignment horizontal="left"/>
    </xf>
    <xf numFmtId="9" fontId="22" fillId="0" borderId="5" xfId="7" applyFont="1" applyFill="1" applyBorder="1" applyAlignment="1">
      <alignment horizontal="left"/>
    </xf>
    <xf numFmtId="0" fontId="22" fillId="0" borderId="6" xfId="0" applyFont="1" applyBorder="1" applyAlignment="1">
      <alignment horizontal="left"/>
    </xf>
    <xf numFmtId="0" fontId="22" fillId="2" borderId="17" xfId="0" applyFont="1" applyFill="1" applyBorder="1"/>
    <xf numFmtId="170" fontId="5" fillId="0" borderId="4" xfId="0" applyNumberFormat="1" applyFont="1" applyFill="1" applyBorder="1" applyProtection="1"/>
    <xf numFmtId="10" fontId="10" fillId="2" borderId="3" xfId="0" applyNumberFormat="1" applyFont="1" applyFill="1" applyBorder="1" applyProtection="1"/>
    <xf numFmtId="10" fontId="0" fillId="2" borderId="8" xfId="0" applyNumberFormat="1" applyFill="1" applyBorder="1"/>
    <xf numFmtId="173" fontId="22" fillId="0" borderId="0" xfId="1" applyNumberFormat="1" applyFont="1" applyBorder="1" applyAlignment="1">
      <alignment horizontal="right"/>
    </xf>
    <xf numFmtId="5" fontId="22" fillId="0" borderId="0" xfId="0" quotePrefix="1" applyNumberFormat="1" applyFont="1" applyBorder="1" applyProtection="1"/>
    <xf numFmtId="0" fontId="22" fillId="0" borderId="0" xfId="0" applyFont="1" applyProtection="1"/>
    <xf numFmtId="5" fontId="22" fillId="0" borderId="1" xfId="0" applyNumberFormat="1" applyFont="1" applyFill="1" applyBorder="1" applyProtection="1"/>
    <xf numFmtId="2" fontId="22" fillId="0" borderId="0" xfId="0" applyNumberFormat="1" applyFont="1" applyBorder="1"/>
    <xf numFmtId="10" fontId="10" fillId="0" borderId="3" xfId="0" applyNumberFormat="1" applyFont="1" applyFill="1" applyBorder="1" applyProtection="1"/>
    <xf numFmtId="0" fontId="16" fillId="0" borderId="0" xfId="0" applyFont="1" applyFill="1"/>
    <xf numFmtId="0" fontId="22" fillId="0" borderId="7" xfId="0" applyFont="1" applyFill="1" applyBorder="1"/>
    <xf numFmtId="0" fontId="5" fillId="0" borderId="3" xfId="0" applyFont="1" applyFill="1" applyBorder="1" applyAlignment="1" applyProtection="1">
      <alignment horizontal="right"/>
    </xf>
    <xf numFmtId="173" fontId="10" fillId="0" borderId="0" xfId="1" applyNumberFormat="1" applyFont="1" applyFill="1" applyAlignment="1" applyProtection="1">
      <alignment horizontal="right"/>
    </xf>
    <xf numFmtId="164" fontId="5" fillId="0" borderId="0" xfId="0" applyNumberFormat="1" applyFont="1" applyFill="1" applyBorder="1" applyAlignment="1" applyProtection="1">
      <alignment horizontal="left"/>
    </xf>
    <xf numFmtId="0" fontId="10" fillId="0" borderId="3" xfId="0" applyFont="1" applyFill="1" applyBorder="1" applyAlignment="1" applyProtection="1">
      <alignment horizontal="right" indent="1"/>
    </xf>
    <xf numFmtId="0" fontId="10" fillId="0" borderId="0" xfId="0" applyFont="1" applyFill="1" applyBorder="1" applyAlignment="1" applyProtection="1">
      <alignment horizontal="left" wrapText="1"/>
    </xf>
    <xf numFmtId="37" fontId="10" fillId="0" borderId="0" xfId="0" applyNumberFormat="1" applyFont="1" applyFill="1" applyBorder="1" applyAlignment="1" applyProtection="1">
      <alignment horizontal="center" wrapText="1"/>
    </xf>
    <xf numFmtId="7" fontId="10" fillId="0" borderId="0" xfId="0" applyNumberFormat="1" applyFont="1" applyFill="1" applyBorder="1" applyAlignment="1" applyProtection="1">
      <alignment horizontal="center" wrapText="1"/>
    </xf>
    <xf numFmtId="0" fontId="22" fillId="2" borderId="4" xfId="0" applyNumberFormat="1" applyFont="1" applyFill="1" applyBorder="1"/>
    <xf numFmtId="173" fontId="5" fillId="0" borderId="1" xfId="0" applyNumberFormat="1" applyFont="1" applyFill="1" applyBorder="1" applyProtection="1"/>
    <xf numFmtId="173" fontId="5" fillId="0" borderId="6" xfId="0" applyNumberFormat="1" applyFont="1" applyFill="1" applyBorder="1" applyProtection="1"/>
    <xf numFmtId="0" fontId="22" fillId="4" borderId="0" xfId="5" applyFont="1" applyFill="1" applyBorder="1" applyAlignment="1">
      <alignment horizontal="center"/>
    </xf>
    <xf numFmtId="43" fontId="22" fillId="4" borderId="0" xfId="5" applyNumberFormat="1" applyFont="1" applyFill="1" applyBorder="1" applyAlignment="1">
      <alignment horizontal="center"/>
    </xf>
    <xf numFmtId="173" fontId="22" fillId="4" borderId="0" xfId="1" applyNumberFormat="1" applyFont="1" applyFill="1" applyBorder="1"/>
    <xf numFmtId="0" fontId="0" fillId="4" borderId="0" xfId="0" applyFill="1"/>
    <xf numFmtId="0" fontId="0" fillId="0" borderId="0" xfId="0" applyAlignment="1">
      <alignment horizontal="left" wrapText="1" indent="2"/>
    </xf>
    <xf numFmtId="0" fontId="0" fillId="0" borderId="0" xfId="0" applyAlignment="1">
      <alignment horizontal="left" indent="1"/>
    </xf>
    <xf numFmtId="0" fontId="40" fillId="0" borderId="0" xfId="0" applyFont="1"/>
    <xf numFmtId="0" fontId="22" fillId="0" borderId="0" xfId="0" applyFont="1" applyAlignment="1">
      <alignment horizontal="left" wrapText="1" indent="2"/>
    </xf>
    <xf numFmtId="169" fontId="0" fillId="0" borderId="0" xfId="0" applyNumberFormat="1"/>
    <xf numFmtId="0" fontId="16" fillId="4" borderId="0" xfId="0" applyFont="1" applyFill="1"/>
    <xf numFmtId="171" fontId="22" fillId="0" borderId="0" xfId="0" applyNumberFormat="1" applyFont="1" applyBorder="1" applyAlignment="1">
      <alignment horizontal="center"/>
    </xf>
    <xf numFmtId="170" fontId="10" fillId="0" borderId="0" xfId="0" applyNumberFormat="1" applyFont="1" applyProtection="1"/>
    <xf numFmtId="41" fontId="22" fillId="0" borderId="0" xfId="0" applyNumberFormat="1" applyFont="1" applyFill="1" applyBorder="1"/>
    <xf numFmtId="41" fontId="22" fillId="2" borderId="0" xfId="0" applyNumberFormat="1" applyFont="1" applyFill="1" applyBorder="1"/>
    <xf numFmtId="174" fontId="6" fillId="0" borderId="11" xfId="0" applyNumberFormat="1" applyFont="1" applyBorder="1" applyProtection="1"/>
    <xf numFmtId="5" fontId="0" fillId="0" borderId="21" xfId="0" applyNumberFormat="1" applyBorder="1"/>
    <xf numFmtId="43" fontId="0" fillId="0" borderId="21" xfId="1" applyFont="1" applyBorder="1"/>
    <xf numFmtId="173" fontId="6" fillId="0" borderId="0" xfId="1" applyNumberFormat="1" applyFont="1" applyProtection="1"/>
    <xf numFmtId="173" fontId="0" fillId="0" borderId="0" xfId="0" applyNumberFormat="1"/>
    <xf numFmtId="173" fontId="41" fillId="0" borderId="0" xfId="1" applyNumberFormat="1" applyFont="1"/>
    <xf numFmtId="173" fontId="41" fillId="0" borderId="0" xfId="1" applyNumberFormat="1" applyFont="1" applyProtection="1"/>
    <xf numFmtId="0" fontId="22" fillId="0" borderId="0" xfId="5" applyFont="1" applyFill="1" applyBorder="1" applyAlignment="1">
      <alignment horizontal="right"/>
    </xf>
    <xf numFmtId="0" fontId="22" fillId="0" borderId="1" xfId="0" applyFont="1" applyFill="1" applyBorder="1" applyAlignment="1">
      <alignment horizontal="center"/>
    </xf>
    <xf numFmtId="0" fontId="16" fillId="0" borderId="0" xfId="0" applyFont="1" applyAlignment="1">
      <alignment horizontal="left" indent="2"/>
    </xf>
    <xf numFmtId="41" fontId="10" fillId="2" borderId="0" xfId="0" applyNumberFormat="1" applyFont="1" applyFill="1" applyAlignment="1" applyProtection="1"/>
    <xf numFmtId="173" fontId="22" fillId="0" borderId="0" xfId="1" applyNumberFormat="1" applyFont="1" applyFill="1"/>
    <xf numFmtId="0" fontId="42" fillId="0" borderId="3" xfId="0" applyFont="1" applyBorder="1"/>
    <xf numFmtId="0" fontId="26" fillId="0" borderId="3" xfId="0" applyFont="1" applyBorder="1"/>
    <xf numFmtId="168" fontId="6" fillId="2" borderId="18" xfId="0" applyNumberFormat="1" applyFont="1" applyFill="1" applyBorder="1" applyProtection="1"/>
    <xf numFmtId="0" fontId="41" fillId="0" borderId="23" xfId="0" applyFont="1" applyBorder="1"/>
    <xf numFmtId="173" fontId="0" fillId="2" borderId="8" xfId="1" applyNumberFormat="1" applyFont="1" applyFill="1" applyBorder="1"/>
    <xf numFmtId="173" fontId="0" fillId="4" borderId="20" xfId="1" applyNumberFormat="1" applyFont="1" applyFill="1" applyBorder="1"/>
    <xf numFmtId="0" fontId="0" fillId="4" borderId="20" xfId="0" applyFill="1" applyBorder="1"/>
    <xf numFmtId="171" fontId="22" fillId="0" borderId="0" xfId="0" applyNumberFormat="1" applyFont="1" applyFill="1" applyBorder="1" applyAlignment="1">
      <alignment horizontal="center"/>
    </xf>
    <xf numFmtId="169" fontId="6" fillId="0" borderId="0" xfId="0" applyNumberFormat="1" applyFont="1" applyFill="1" applyBorder="1" applyProtection="1"/>
    <xf numFmtId="170" fontId="0" fillId="0" borderId="0" xfId="0" applyNumberFormat="1" applyFill="1" applyBorder="1"/>
    <xf numFmtId="170" fontId="0" fillId="0" borderId="11" xfId="0" applyNumberFormat="1" applyFill="1" applyBorder="1"/>
    <xf numFmtId="0" fontId="46" fillId="0" borderId="0" xfId="0" applyFont="1" applyFill="1" applyBorder="1" applyAlignment="1">
      <alignment horizontal="center" wrapText="1"/>
    </xf>
    <xf numFmtId="0" fontId="46" fillId="0" borderId="0" xfId="0" applyFont="1" applyFill="1" applyBorder="1"/>
    <xf numFmtId="37" fontId="39" fillId="0" borderId="0" xfId="0" applyNumberFormat="1" applyFont="1" applyFill="1" applyBorder="1"/>
    <xf numFmtId="3" fontId="39" fillId="0" borderId="0" xfId="0" applyNumberFormat="1" applyFont="1" applyFill="1" applyBorder="1"/>
    <xf numFmtId="0" fontId="39" fillId="0" borderId="0" xfId="0" applyFont="1" applyFill="1" applyBorder="1"/>
    <xf numFmtId="0" fontId="36" fillId="0" borderId="0" xfId="6" applyFont="1" applyBorder="1" applyAlignment="1">
      <alignment horizontal="left" indent="1"/>
    </xf>
    <xf numFmtId="0" fontId="4" fillId="0" borderId="0" xfId="0" applyFont="1"/>
    <xf numFmtId="0" fontId="36" fillId="0" borderId="0" xfId="0" applyFont="1"/>
    <xf numFmtId="0" fontId="4" fillId="0" borderId="0" xfId="6" applyFont="1"/>
    <xf numFmtId="0" fontId="3" fillId="0" borderId="7" xfId="6" applyBorder="1"/>
    <xf numFmtId="0" fontId="3" fillId="0" borderId="27" xfId="6" applyBorder="1"/>
    <xf numFmtId="173" fontId="16" fillId="5" borderId="9" xfId="1" applyNumberFormat="1" applyFont="1" applyFill="1" applyBorder="1"/>
    <xf numFmtId="0" fontId="22" fillId="5" borderId="8" xfId="0" applyFont="1" applyFill="1" applyBorder="1" applyAlignment="1">
      <alignment horizontal="center"/>
    </xf>
    <xf numFmtId="0" fontId="22" fillId="5" borderId="30" xfId="0" applyFont="1" applyFill="1" applyBorder="1" applyAlignment="1">
      <alignment horizontal="center"/>
    </xf>
    <xf numFmtId="3" fontId="22" fillId="5" borderId="8" xfId="0" applyNumberFormat="1" applyFont="1" applyFill="1" applyBorder="1" applyAlignment="1">
      <alignment horizontal="center"/>
    </xf>
    <xf numFmtId="0" fontId="22" fillId="5" borderId="7" xfId="0" applyFont="1" applyFill="1" applyBorder="1" applyAlignment="1">
      <alignment horizontal="center"/>
    </xf>
    <xf numFmtId="0" fontId="22" fillId="5" borderId="0" xfId="5" applyFont="1" applyFill="1" applyBorder="1" applyAlignment="1">
      <alignment horizontal="center" wrapText="1"/>
    </xf>
    <xf numFmtId="0" fontId="22" fillId="5" borderId="8" xfId="5" applyFont="1" applyFill="1" applyBorder="1" applyAlignment="1">
      <alignment horizontal="center" wrapText="1"/>
    </xf>
    <xf numFmtId="0" fontId="0" fillId="0" borderId="0" xfId="0" applyFill="1" applyBorder="1" applyAlignment="1">
      <alignment horizontal="center"/>
    </xf>
    <xf numFmtId="0" fontId="0" fillId="0" borderId="20" xfId="7" applyNumberFormat="1" applyFont="1" applyBorder="1"/>
    <xf numFmtId="0" fontId="0" fillId="0" borderId="23" xfId="0" applyBorder="1"/>
    <xf numFmtId="173" fontId="0" fillId="0" borderId="24" xfId="0" applyNumberFormat="1" applyBorder="1"/>
    <xf numFmtId="0" fontId="0" fillId="0" borderId="20" xfId="0" applyNumberFormat="1" applyBorder="1"/>
    <xf numFmtId="9" fontId="0" fillId="2" borderId="8" xfId="0" applyNumberFormat="1" applyFill="1" applyBorder="1"/>
    <xf numFmtId="10" fontId="41" fillId="2" borderId="24" xfId="0" applyNumberFormat="1" applyFont="1" applyFill="1" applyBorder="1"/>
    <xf numFmtId="169" fontId="6" fillId="0" borderId="0" xfId="2" applyNumberFormat="1" applyFont="1" applyFill="1" applyAlignment="1" applyProtection="1">
      <alignment horizontal="right"/>
    </xf>
    <xf numFmtId="0" fontId="6" fillId="0" borderId="3" xfId="0" applyFont="1" applyFill="1" applyBorder="1" applyAlignment="1" applyProtection="1">
      <alignment horizontal="right"/>
    </xf>
    <xf numFmtId="173" fontId="10" fillId="0" borderId="0" xfId="1" applyNumberFormat="1" applyFont="1" applyBorder="1" applyProtection="1"/>
    <xf numFmtId="41" fontId="22" fillId="2" borderId="34" xfId="0" applyNumberFormat="1" applyFont="1" applyFill="1" applyBorder="1" applyAlignment="1"/>
    <xf numFmtId="41" fontId="10" fillId="2" borderId="34" xfId="0" applyNumberFormat="1" applyFont="1" applyFill="1" applyBorder="1" applyProtection="1"/>
    <xf numFmtId="41" fontId="22" fillId="2" borderId="34" xfId="0" applyNumberFormat="1" applyFont="1" applyFill="1" applyBorder="1"/>
    <xf numFmtId="41" fontId="22" fillId="2" borderId="34" xfId="0" applyNumberFormat="1" applyFont="1" applyFill="1" applyBorder="1" applyAlignment="1">
      <alignment horizontal="right"/>
    </xf>
    <xf numFmtId="41" fontId="10" fillId="2" borderId="3" xfId="0" applyNumberFormat="1" applyFont="1" applyFill="1" applyBorder="1" applyProtection="1"/>
    <xf numFmtId="0" fontId="22" fillId="2" borderId="0" xfId="0" applyNumberFormat="1" applyFont="1" applyFill="1"/>
    <xf numFmtId="0" fontId="6" fillId="0" borderId="0" xfId="0" applyNumberFormat="1" applyFont="1" applyFill="1" applyBorder="1" applyProtection="1"/>
    <xf numFmtId="0" fontId="23" fillId="0" borderId="11" xfId="0" applyNumberFormat="1" applyFont="1" applyBorder="1" applyAlignment="1" applyProtection="1">
      <protection locked="0"/>
    </xf>
    <xf numFmtId="0" fontId="18" fillId="4" borderId="9" xfId="5" applyFont="1" applyFill="1" applyBorder="1" applyAlignment="1">
      <alignment horizontal="center" wrapText="1"/>
    </xf>
    <xf numFmtId="3" fontId="22" fillId="0" borderId="0" xfId="0" applyNumberFormat="1" applyFont="1" applyBorder="1" applyAlignment="1">
      <alignment horizontal="center"/>
    </xf>
    <xf numFmtId="0" fontId="45" fillId="0" borderId="0" xfId="0" applyFont="1" applyBorder="1"/>
    <xf numFmtId="9" fontId="22" fillId="0" borderId="0" xfId="0" applyNumberFormat="1" applyFont="1" applyBorder="1" applyAlignment="1">
      <alignment horizontal="center" vertical="center"/>
    </xf>
    <xf numFmtId="0" fontId="18" fillId="0" borderId="0" xfId="0" applyFont="1" applyBorder="1" applyAlignment="1">
      <alignment horizontal="center" vertical="center" wrapText="1"/>
    </xf>
    <xf numFmtId="0" fontId="5" fillId="0" borderId="35" xfId="0" applyFont="1" applyFill="1" applyBorder="1" applyProtection="1"/>
    <xf numFmtId="0" fontId="22" fillId="0" borderId="36" xfId="0" applyFont="1" applyFill="1" applyBorder="1"/>
    <xf numFmtId="0" fontId="5" fillId="0" borderId="36" xfId="0" applyFont="1" applyFill="1" applyBorder="1" applyAlignment="1" applyProtection="1">
      <alignment horizontal="right"/>
    </xf>
    <xf numFmtId="0" fontId="5" fillId="0" borderId="36" xfId="0" applyFont="1" applyFill="1" applyBorder="1" applyProtection="1"/>
    <xf numFmtId="169" fontId="5" fillId="0" borderId="36" xfId="0" applyNumberFormat="1" applyFont="1" applyFill="1" applyBorder="1" applyProtection="1"/>
    <xf numFmtId="0" fontId="22" fillId="0" borderId="36" xfId="0" applyFont="1" applyBorder="1"/>
    <xf numFmtId="0" fontId="22" fillId="0" borderId="37" xfId="0" applyFont="1" applyBorder="1"/>
    <xf numFmtId="0" fontId="0" fillId="0" borderId="38" xfId="0" applyBorder="1"/>
    <xf numFmtId="0" fontId="0" fillId="0" borderId="39" xfId="0" applyBorder="1"/>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22" fillId="0" borderId="43" xfId="0" applyFont="1" applyBorder="1" applyAlignment="1">
      <alignment horizontal="center"/>
    </xf>
    <xf numFmtId="9" fontId="22" fillId="0" borderId="44" xfId="0" applyNumberFormat="1" applyFont="1" applyBorder="1" applyAlignment="1">
      <alignment horizontal="center"/>
    </xf>
    <xf numFmtId="0" fontId="22" fillId="0" borderId="45" xfId="0" applyFont="1" applyBorder="1" applyAlignment="1">
      <alignment horizontal="center"/>
    </xf>
    <xf numFmtId="9" fontId="22" fillId="0" borderId="46" xfId="0" applyNumberFormat="1" applyFont="1" applyBorder="1" applyAlignment="1">
      <alignment horizontal="center"/>
    </xf>
    <xf numFmtId="3" fontId="22" fillId="0" borderId="45" xfId="0" applyNumberFormat="1" applyFont="1" applyBorder="1" applyAlignment="1">
      <alignment horizontal="center"/>
    </xf>
    <xf numFmtId="0" fontId="22" fillId="0" borderId="47" xfId="0" applyFont="1" applyBorder="1" applyAlignment="1">
      <alignment horizontal="center"/>
    </xf>
    <xf numFmtId="9" fontId="22" fillId="0" borderId="48" xfId="0" applyNumberFormat="1" applyFont="1" applyBorder="1" applyAlignment="1">
      <alignment horizontal="center"/>
    </xf>
    <xf numFmtId="0" fontId="22" fillId="0" borderId="49" xfId="0" applyFont="1" applyBorder="1" applyAlignment="1">
      <alignment horizontal="center"/>
    </xf>
    <xf numFmtId="9" fontId="18" fillId="0" borderId="50" xfId="0" applyNumberFormat="1" applyFont="1" applyFill="1" applyBorder="1" applyAlignment="1">
      <alignment horizontal="center"/>
    </xf>
    <xf numFmtId="0" fontId="22" fillId="0" borderId="50" xfId="0" applyFont="1" applyBorder="1" applyAlignment="1">
      <alignment horizontal="center"/>
    </xf>
    <xf numFmtId="0" fontId="22" fillId="0" borderId="51" xfId="0" applyFont="1" applyBorder="1" applyAlignment="1">
      <alignment horizontal="center"/>
    </xf>
    <xf numFmtId="0" fontId="22" fillId="2" borderId="17" xfId="0" applyFont="1" applyFill="1" applyBorder="1" applyAlignment="1">
      <alignment horizontal="center"/>
    </xf>
    <xf numFmtId="1" fontId="22" fillId="0" borderId="0" xfId="0" applyNumberFormat="1" applyFont="1" applyFill="1" applyBorder="1" applyAlignment="1">
      <alignment horizontal="center"/>
    </xf>
    <xf numFmtId="1" fontId="5" fillId="0" borderId="0" xfId="0" applyNumberFormat="1" applyFont="1" applyFill="1" applyBorder="1" applyAlignment="1" applyProtection="1">
      <alignment horizontal="center"/>
    </xf>
    <xf numFmtId="1" fontId="22" fillId="2" borderId="17" xfId="0" applyNumberFormat="1" applyFont="1" applyFill="1" applyBorder="1" applyAlignment="1">
      <alignment horizontal="center"/>
    </xf>
    <xf numFmtId="3" fontId="10" fillId="0" borderId="0"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3" fontId="46" fillId="0" borderId="28" xfId="0" applyNumberFormat="1" applyFont="1" applyFill="1" applyBorder="1" applyAlignment="1">
      <alignment horizontal="center"/>
    </xf>
    <xf numFmtId="9" fontId="22" fillId="0" borderId="52" xfId="0" applyNumberFormat="1" applyFont="1" applyFill="1" applyBorder="1" applyAlignment="1">
      <alignment horizontal="center"/>
    </xf>
    <xf numFmtId="9" fontId="22" fillId="2" borderId="52" xfId="0" applyNumberFormat="1" applyFont="1" applyFill="1" applyBorder="1" applyAlignment="1">
      <alignment horizontal="center"/>
    </xf>
    <xf numFmtId="2" fontId="22" fillId="0" borderId="0" xfId="0" applyNumberFormat="1" applyFont="1"/>
    <xf numFmtId="1" fontId="6" fillId="0" borderId="17" xfId="0" applyNumberFormat="1" applyFont="1" applyBorder="1" applyAlignment="1" applyProtection="1">
      <alignment horizontal="center"/>
    </xf>
    <xf numFmtId="1" fontId="18" fillId="5" borderId="10" xfId="7" applyNumberFormat="1" applyFont="1" applyFill="1" applyBorder="1" applyAlignment="1">
      <alignment horizontal="right"/>
    </xf>
    <xf numFmtId="0" fontId="49" fillId="0" borderId="0" xfId="0" applyFont="1" applyFill="1" applyBorder="1"/>
    <xf numFmtId="0" fontId="6" fillId="0" borderId="11" xfId="0" applyFont="1" applyBorder="1" applyAlignment="1" applyProtection="1">
      <alignment vertical="center"/>
    </xf>
    <xf numFmtId="0" fontId="5" fillId="0" borderId="11" xfId="0" applyFont="1" applyBorder="1" applyAlignment="1" applyProtection="1">
      <alignment horizontal="right" vertical="center"/>
    </xf>
    <xf numFmtId="0" fontId="6" fillId="0" borderId="6" xfId="0" applyFont="1" applyBorder="1" applyAlignment="1" applyProtection="1">
      <alignment vertical="center"/>
    </xf>
    <xf numFmtId="0" fontId="6" fillId="0" borderId="0" xfId="0" applyFont="1" applyBorder="1" applyAlignment="1" applyProtection="1">
      <alignment vertical="center"/>
    </xf>
    <xf numFmtId="0" fontId="0" fillId="0" borderId="0" xfId="0" applyBorder="1" applyAlignment="1">
      <alignment vertical="center"/>
    </xf>
    <xf numFmtId="0" fontId="6" fillId="0" borderId="3" xfId="0" applyFont="1" applyBorder="1" applyAlignment="1" applyProtection="1">
      <alignment vertical="center"/>
    </xf>
    <xf numFmtId="0" fontId="6" fillId="0" borderId="1" xfId="0" applyFont="1" applyBorder="1" applyAlignment="1" applyProtection="1">
      <alignment vertical="center"/>
    </xf>
    <xf numFmtId="5" fontId="6" fillId="0" borderId="0" xfId="0" applyNumberFormat="1" applyFont="1" applyBorder="1" applyAlignment="1" applyProtection="1">
      <alignment vertical="center"/>
    </xf>
    <xf numFmtId="0" fontId="14" fillId="0" borderId="0" xfId="0" applyFont="1" applyBorder="1" applyAlignment="1" applyProtection="1">
      <alignment vertical="center"/>
    </xf>
    <xf numFmtId="5" fontId="0" fillId="0" borderId="0" xfId="2" applyNumberFormat="1" applyFont="1" applyBorder="1" applyAlignment="1">
      <alignment vertical="center"/>
    </xf>
    <xf numFmtId="0" fontId="6" fillId="0" borderId="3" xfId="0" applyFont="1" applyBorder="1" applyAlignment="1" applyProtection="1">
      <alignment horizontal="right" vertical="center"/>
    </xf>
    <xf numFmtId="0" fontId="6" fillId="2" borderId="17" xfId="0" applyFont="1" applyFill="1" applyBorder="1" applyAlignment="1" applyProtection="1">
      <alignment horizontal="center" vertical="center"/>
    </xf>
    <xf numFmtId="4" fontId="0" fillId="0" borderId="3" xfId="0" applyNumberFormat="1" applyBorder="1" applyAlignment="1">
      <alignment vertical="center"/>
    </xf>
    <xf numFmtId="0" fontId="6" fillId="0" borderId="38" xfId="0" applyFont="1" applyBorder="1" applyAlignment="1" applyProtection="1">
      <alignment horizontal="right" vertical="center"/>
    </xf>
    <xf numFmtId="6" fontId="0" fillId="0" borderId="0" xfId="0" applyNumberFormat="1" applyBorder="1" applyAlignment="1">
      <alignment horizontal="center" vertical="center"/>
    </xf>
    <xf numFmtId="0" fontId="6" fillId="0" borderId="0" xfId="0" applyFont="1" applyFill="1" applyBorder="1" applyAlignment="1" applyProtection="1">
      <alignment horizontal="center" vertical="center"/>
    </xf>
    <xf numFmtId="169" fontId="18" fillId="0" borderId="0" xfId="2" applyNumberFormat="1" applyFont="1" applyFill="1" applyBorder="1" applyAlignment="1">
      <alignment vertical="center"/>
    </xf>
    <xf numFmtId="9" fontId="6" fillId="0" borderId="0" xfId="0" applyNumberFormat="1" applyFont="1" applyBorder="1" applyAlignment="1" applyProtection="1">
      <alignment vertical="center"/>
    </xf>
    <xf numFmtId="0" fontId="5" fillId="0" borderId="3" xfId="0" applyFont="1" applyBorder="1" applyAlignment="1" applyProtection="1">
      <alignment vertical="center"/>
    </xf>
    <xf numFmtId="169" fontId="5" fillId="0" borderId="0" xfId="0" applyNumberFormat="1" applyFont="1" applyBorder="1" applyAlignment="1" applyProtection="1">
      <alignment vertical="center"/>
    </xf>
    <xf numFmtId="0" fontId="5" fillId="0" borderId="1" xfId="0" applyFont="1" applyBorder="1" applyAlignment="1" applyProtection="1">
      <alignment vertical="center"/>
    </xf>
    <xf numFmtId="0" fontId="0" fillId="0" borderId="3" xfId="0" applyBorder="1" applyAlignment="1">
      <alignment vertical="center"/>
    </xf>
    <xf numFmtId="5" fontId="5" fillId="0" borderId="0" xfId="0" applyNumberFormat="1" applyFont="1" applyBorder="1" applyAlignment="1" applyProtection="1">
      <alignment vertical="center"/>
    </xf>
    <xf numFmtId="7" fontId="6" fillId="0" borderId="0" xfId="0" applyNumberFormat="1" applyFont="1" applyBorder="1" applyAlignment="1" applyProtection="1">
      <alignment vertical="center"/>
    </xf>
    <xf numFmtId="5" fontId="6" fillId="0" borderId="3" xfId="0" applyNumberFormat="1" applyFont="1" applyBorder="1" applyAlignment="1" applyProtection="1">
      <alignment vertical="center"/>
    </xf>
    <xf numFmtId="0" fontId="25" fillId="0" borderId="1" xfId="0" applyFont="1" applyBorder="1" applyAlignment="1" applyProtection="1">
      <alignment vertical="center"/>
    </xf>
    <xf numFmtId="5" fontId="6" fillId="2" borderId="17" xfId="0" applyNumberFormat="1" applyFont="1" applyFill="1" applyBorder="1" applyAlignment="1" applyProtection="1">
      <alignment vertical="center"/>
    </xf>
    <xf numFmtId="7" fontId="6" fillId="0" borderId="3" xfId="0" applyNumberFormat="1" applyFont="1" applyBorder="1" applyAlignment="1" applyProtection="1">
      <alignment vertical="center"/>
    </xf>
    <xf numFmtId="0" fontId="6" fillId="0" borderId="5" xfId="0" applyFont="1" applyBorder="1" applyAlignment="1" applyProtection="1">
      <alignment vertical="center"/>
    </xf>
    <xf numFmtId="5" fontId="5" fillId="0" borderId="11" xfId="0" applyNumberFormat="1" applyFont="1" applyBorder="1" applyAlignment="1" applyProtection="1">
      <alignment vertical="center"/>
    </xf>
    <xf numFmtId="0" fontId="5" fillId="0" borderId="6" xfId="0" applyFont="1" applyBorder="1" applyAlignment="1" applyProtection="1">
      <alignment vertical="center"/>
    </xf>
    <xf numFmtId="0" fontId="6" fillId="0" borderId="0" xfId="0" applyFont="1" applyFill="1" applyBorder="1" applyAlignment="1" applyProtection="1">
      <alignment horizontal="left"/>
    </xf>
    <xf numFmtId="0" fontId="22" fillId="0" borderId="0" xfId="0" applyNumberFormat="1" applyFont="1" applyFill="1" applyBorder="1"/>
    <xf numFmtId="0" fontId="18" fillId="0" borderId="22" xfId="0" applyFont="1" applyFill="1" applyBorder="1"/>
    <xf numFmtId="5" fontId="22" fillId="0" borderId="0" xfId="0" applyNumberFormat="1" applyFont="1" applyFill="1" applyBorder="1" applyAlignment="1"/>
    <xf numFmtId="0" fontId="30" fillId="0" borderId="56" xfId="0" applyFont="1" applyBorder="1" applyProtection="1"/>
    <xf numFmtId="0" fontId="8" fillId="0" borderId="57" xfId="0" applyFont="1" applyBorder="1" applyProtection="1"/>
    <xf numFmtId="0" fontId="8" fillId="0" borderId="58" xfId="0" applyFont="1" applyBorder="1" applyProtection="1"/>
    <xf numFmtId="41" fontId="5" fillId="2" borderId="59" xfId="0" applyNumberFormat="1" applyFont="1" applyFill="1" applyBorder="1" applyProtection="1"/>
    <xf numFmtId="43" fontId="11" fillId="0" borderId="60" xfId="0" applyNumberFormat="1" applyFont="1" applyBorder="1" applyProtection="1"/>
    <xf numFmtId="0" fontId="11" fillId="0" borderId="61" xfId="0" applyFont="1" applyBorder="1" applyProtection="1"/>
    <xf numFmtId="0" fontId="8" fillId="0" borderId="34" xfId="0" applyFont="1" applyBorder="1" applyProtection="1"/>
    <xf numFmtId="0" fontId="10" fillId="0" borderId="49" xfId="0" applyFont="1" applyBorder="1" applyProtection="1"/>
    <xf numFmtId="0" fontId="30" fillId="0" borderId="34" xfId="0" applyFont="1" applyBorder="1" applyProtection="1"/>
    <xf numFmtId="0" fontId="10" fillId="0" borderId="34" xfId="0" applyFont="1" applyBorder="1" applyProtection="1"/>
    <xf numFmtId="0" fontId="10" fillId="0" borderId="34" xfId="0" applyFont="1" applyBorder="1" applyAlignment="1" applyProtection="1">
      <alignment horizontal="left" indent="1"/>
    </xf>
    <xf numFmtId="0" fontId="10" fillId="0" borderId="38" xfId="0" applyFont="1" applyBorder="1" applyAlignment="1" applyProtection="1">
      <alignment horizontal="left" indent="1"/>
    </xf>
    <xf numFmtId="0" fontId="22" fillId="0" borderId="34" xfId="0" applyFont="1" applyBorder="1" applyAlignment="1">
      <alignment horizontal="left" indent="1"/>
    </xf>
    <xf numFmtId="0" fontId="10" fillId="0" borderId="38" xfId="0" applyFont="1" applyBorder="1" applyProtection="1"/>
    <xf numFmtId="0" fontId="31" fillId="0" borderId="34" xfId="0" applyFont="1" applyBorder="1" applyAlignment="1" applyProtection="1">
      <alignment horizontal="right"/>
    </xf>
    <xf numFmtId="5" fontId="10" fillId="0" borderId="49" xfId="0" applyNumberFormat="1" applyFont="1" applyBorder="1" applyProtection="1"/>
    <xf numFmtId="0" fontId="27" fillId="0" borderId="34" xfId="0" applyFont="1" applyBorder="1" applyProtection="1"/>
    <xf numFmtId="0" fontId="10" fillId="0" borderId="34" xfId="0" applyFont="1" applyFill="1" applyBorder="1" applyProtection="1"/>
    <xf numFmtId="0" fontId="31" fillId="0" borderId="34" xfId="0" applyFont="1" applyBorder="1" applyProtection="1"/>
    <xf numFmtId="0" fontId="11" fillId="0" borderId="49" xfId="0" applyFont="1" applyBorder="1" applyProtection="1"/>
    <xf numFmtId="10" fontId="11" fillId="0" borderId="49" xfId="0" applyNumberFormat="1" applyFont="1" applyBorder="1" applyProtection="1"/>
    <xf numFmtId="0" fontId="6" fillId="0" borderId="34" xfId="0" applyFont="1" applyBorder="1" applyProtection="1"/>
    <xf numFmtId="0" fontId="6" fillId="0" borderId="34" xfId="0" applyFont="1" applyFill="1" applyBorder="1" applyProtection="1"/>
    <xf numFmtId="0" fontId="10" fillId="0" borderId="49" xfId="0" applyFont="1" applyFill="1" applyBorder="1" applyProtection="1"/>
    <xf numFmtId="0" fontId="22" fillId="0" borderId="34" xfId="0" applyFont="1" applyBorder="1"/>
    <xf numFmtId="10" fontId="10" fillId="0" borderId="49" xfId="0" applyNumberFormat="1" applyFont="1" applyBorder="1" applyProtection="1"/>
    <xf numFmtId="5" fontId="16" fillId="0" borderId="49" xfId="0" applyNumberFormat="1" applyFont="1" applyFill="1" applyBorder="1" applyAlignment="1">
      <alignment horizontal="right"/>
    </xf>
    <xf numFmtId="0" fontId="5" fillId="0" borderId="34" xfId="0" applyFont="1" applyFill="1" applyBorder="1" applyAlignment="1" applyProtection="1">
      <alignment horizontal="right"/>
    </xf>
    <xf numFmtId="168" fontId="11" fillId="0" borderId="49" xfId="0" applyNumberFormat="1" applyFont="1" applyBorder="1" applyProtection="1"/>
    <xf numFmtId="7" fontId="11" fillId="0" borderId="49" xfId="0" applyNumberFormat="1" applyFont="1" applyBorder="1" applyProtection="1"/>
    <xf numFmtId="0" fontId="31" fillId="0" borderId="62" xfId="0" applyFont="1" applyBorder="1" applyProtection="1"/>
    <xf numFmtId="0" fontId="10" fillId="0" borderId="63" xfId="0" applyFont="1" applyBorder="1" applyProtection="1"/>
    <xf numFmtId="0" fontId="10" fillId="0" borderId="64" xfId="0" applyFont="1" applyBorder="1" applyProtection="1"/>
    <xf numFmtId="41" fontId="5" fillId="0" borderId="65" xfId="0" applyNumberFormat="1" applyFont="1" applyBorder="1" applyProtection="1"/>
    <xf numFmtId="5" fontId="10" fillId="0" borderId="63" xfId="0" applyNumberFormat="1" applyFont="1" applyBorder="1" applyProtection="1"/>
    <xf numFmtId="5" fontId="10" fillId="0" borderId="51" xfId="0" applyNumberFormat="1" applyFont="1" applyBorder="1" applyProtection="1"/>
    <xf numFmtId="9" fontId="22" fillId="2" borderId="0" xfId="7" applyFont="1" applyFill="1" applyBorder="1"/>
    <xf numFmtId="173" fontId="10" fillId="0" borderId="0" xfId="0" applyNumberFormat="1" applyFont="1" applyBorder="1" applyProtection="1"/>
    <xf numFmtId="41" fontId="28" fillId="2" borderId="16" xfId="0" applyNumberFormat="1" applyFont="1" applyFill="1" applyBorder="1" applyProtection="1"/>
    <xf numFmtId="41" fontId="28" fillId="2" borderId="66" xfId="0" applyNumberFormat="1" applyFont="1" applyFill="1" applyBorder="1" applyProtection="1"/>
    <xf numFmtId="41" fontId="28" fillId="2" borderId="65" xfId="0" applyNumberFormat="1" applyFont="1" applyFill="1" applyBorder="1" applyProtection="1"/>
    <xf numFmtId="7" fontId="10" fillId="0" borderId="0" xfId="0" applyNumberFormat="1" applyFont="1" applyBorder="1" applyProtection="1"/>
    <xf numFmtId="41" fontId="28" fillId="0" borderId="4" xfId="0" applyNumberFormat="1" applyFont="1" applyFill="1" applyBorder="1" applyProtection="1"/>
    <xf numFmtId="41" fontId="22" fillId="2" borderId="67" xfId="0" applyNumberFormat="1" applyFont="1" applyFill="1" applyBorder="1"/>
    <xf numFmtId="5" fontId="16" fillId="0" borderId="4" xfId="0" applyNumberFormat="1" applyFont="1" applyFill="1" applyBorder="1" applyAlignment="1">
      <alignment horizontal="center"/>
    </xf>
    <xf numFmtId="0" fontId="22" fillId="0" borderId="0" xfId="0" applyFont="1" applyBorder="1" applyAlignment="1">
      <alignment horizontal="center" wrapText="1"/>
    </xf>
    <xf numFmtId="3" fontId="22" fillId="5" borderId="0" xfId="0" applyNumberFormat="1" applyFont="1" applyFill="1" applyBorder="1" applyAlignment="1">
      <alignment horizontal="center"/>
    </xf>
    <xf numFmtId="0" fontId="22" fillId="5" borderId="0" xfId="0" applyFont="1" applyFill="1" applyBorder="1" applyAlignment="1">
      <alignment horizontal="center"/>
    </xf>
    <xf numFmtId="0" fontId="18" fillId="0" borderId="0" xfId="0" applyFont="1" applyBorder="1" applyAlignment="1">
      <alignment horizontal="center"/>
    </xf>
    <xf numFmtId="3" fontId="22" fillId="4" borderId="0" xfId="0" applyNumberFormat="1" applyFont="1" applyFill="1" applyBorder="1" applyAlignment="1">
      <alignment horizontal="center"/>
    </xf>
    <xf numFmtId="0" fontId="16" fillId="0" borderId="0" xfId="0" applyFont="1" applyFill="1" applyBorder="1" applyAlignment="1">
      <alignment horizontal="center"/>
    </xf>
    <xf numFmtId="0" fontId="22" fillId="0" borderId="3" xfId="0" applyFont="1" applyBorder="1"/>
    <xf numFmtId="0" fontId="16" fillId="0" borderId="3" xfId="5" applyFont="1" applyFill="1" applyBorder="1" applyAlignment="1">
      <alignment horizontal="left"/>
    </xf>
    <xf numFmtId="9" fontId="16" fillId="2" borderId="68" xfId="7" applyFont="1" applyFill="1" applyBorder="1" applyAlignment="1">
      <alignment horizontal="right"/>
    </xf>
    <xf numFmtId="0" fontId="22" fillId="0" borderId="3" xfId="0" applyFont="1" applyBorder="1" applyAlignment="1">
      <alignment horizontal="center"/>
    </xf>
    <xf numFmtId="0" fontId="22" fillId="0" borderId="3" xfId="5" applyFont="1" applyFill="1" applyBorder="1" applyAlignment="1">
      <alignment horizontal="center"/>
    </xf>
    <xf numFmtId="0" fontId="39" fillId="4" borderId="69" xfId="5" applyFont="1" applyFill="1" applyBorder="1" applyAlignment="1">
      <alignment horizontal="center"/>
    </xf>
    <xf numFmtId="0" fontId="22" fillId="0" borderId="5" xfId="0" applyFont="1" applyBorder="1"/>
    <xf numFmtId="0" fontId="6" fillId="0" borderId="9" xfId="0" applyFont="1" applyBorder="1" applyProtection="1"/>
    <xf numFmtId="0" fontId="5" fillId="0" borderId="0" xfId="0" applyFont="1" applyBorder="1" applyAlignment="1" applyProtection="1">
      <alignment horizontal="right"/>
    </xf>
    <xf numFmtId="0" fontId="5" fillId="0" borderId="32" xfId="0" applyFont="1" applyBorder="1" applyAlignment="1" applyProtection="1">
      <alignment horizontal="right" vertical="center"/>
    </xf>
    <xf numFmtId="5" fontId="18" fillId="2" borderId="0" xfId="0" applyNumberFormat="1" applyFont="1" applyFill="1" applyBorder="1" applyAlignment="1" applyProtection="1">
      <alignment vertical="center"/>
    </xf>
    <xf numFmtId="5" fontId="6" fillId="2" borderId="0" xfId="0" applyNumberFormat="1" applyFont="1" applyFill="1" applyBorder="1" applyAlignment="1" applyProtection="1">
      <alignment vertical="center"/>
    </xf>
    <xf numFmtId="0" fontId="6" fillId="0" borderId="9" xfId="0" applyFont="1" applyBorder="1" applyAlignment="1" applyProtection="1">
      <alignment horizontal="center"/>
    </xf>
    <xf numFmtId="0" fontId="6" fillId="0" borderId="32" xfId="0" applyFont="1" applyBorder="1" applyAlignment="1" applyProtection="1">
      <alignment horizontal="center"/>
    </xf>
    <xf numFmtId="37" fontId="5" fillId="0" borderId="19" xfId="0" applyNumberFormat="1" applyFont="1" applyFill="1" applyBorder="1" applyProtection="1"/>
    <xf numFmtId="10" fontId="22" fillId="0" borderId="1" xfId="0" applyNumberFormat="1" applyFont="1" applyFill="1" applyBorder="1" applyProtection="1"/>
    <xf numFmtId="10" fontId="22" fillId="2" borderId="1" xfId="0" applyNumberFormat="1" applyFont="1" applyFill="1" applyBorder="1" applyProtection="1"/>
    <xf numFmtId="10" fontId="22" fillId="2" borderId="1" xfId="0" applyNumberFormat="1" applyFont="1" applyFill="1" applyBorder="1"/>
    <xf numFmtId="10" fontId="6" fillId="0" borderId="1" xfId="7" applyNumberFormat="1" applyFont="1" applyFill="1" applyBorder="1" applyProtection="1"/>
    <xf numFmtId="169" fontId="6" fillId="2" borderId="70" xfId="2" applyNumberFormat="1" applyFont="1" applyFill="1" applyBorder="1" applyProtection="1"/>
    <xf numFmtId="6" fontId="18" fillId="0" borderId="0" xfId="0" applyNumberFormat="1" applyFont="1" applyBorder="1" applyAlignment="1">
      <alignment vertical="center"/>
    </xf>
    <xf numFmtId="0" fontId="18" fillId="0" borderId="1" xfId="0" applyFont="1" applyBorder="1" applyAlignment="1" applyProtection="1">
      <alignment vertical="center"/>
    </xf>
    <xf numFmtId="6" fontId="18" fillId="0" borderId="9" xfId="0" applyNumberFormat="1" applyFont="1" applyBorder="1" applyAlignment="1">
      <alignment vertical="center"/>
    </xf>
    <xf numFmtId="9" fontId="40" fillId="0" borderId="0" xfId="8" applyFont="1" applyFill="1" applyBorder="1" applyAlignment="1">
      <alignment horizontal="left"/>
    </xf>
    <xf numFmtId="0" fontId="18" fillId="0" borderId="0" xfId="9"/>
    <xf numFmtId="0" fontId="18" fillId="0" borderId="0" xfId="9" applyAlignment="1">
      <alignment horizontal="center"/>
    </xf>
    <xf numFmtId="0" fontId="18" fillId="0" borderId="0" xfId="9" applyAlignment="1">
      <alignment horizontal="left"/>
    </xf>
    <xf numFmtId="0" fontId="18" fillId="0" borderId="71" xfId="9" applyBorder="1"/>
    <xf numFmtId="3" fontId="16" fillId="6" borderId="73" xfId="9" applyNumberFormat="1" applyFont="1" applyFill="1" applyBorder="1" applyAlignment="1">
      <alignment horizontal="center"/>
    </xf>
    <xf numFmtId="0" fontId="18" fillId="0" borderId="0" xfId="5" applyFont="1" applyAlignment="1">
      <alignment horizontal="center"/>
    </xf>
    <xf numFmtId="3" fontId="16" fillId="7" borderId="73" xfId="9" applyNumberFormat="1" applyFont="1" applyFill="1" applyBorder="1" applyAlignment="1">
      <alignment horizontal="center"/>
    </xf>
    <xf numFmtId="0" fontId="18" fillId="0" borderId="21" xfId="9" applyBorder="1" applyAlignment="1">
      <alignment horizontal="left"/>
    </xf>
    <xf numFmtId="9" fontId="51" fillId="6" borderId="73" xfId="9" applyNumberFormat="1" applyFont="1" applyFill="1" applyBorder="1" applyAlignment="1">
      <alignment horizontal="center"/>
    </xf>
    <xf numFmtId="14" fontId="51" fillId="6" borderId="73" xfId="9" applyNumberFormat="1" applyFont="1" applyFill="1" applyBorder="1" applyAlignment="1">
      <alignment horizontal="center"/>
    </xf>
    <xf numFmtId="0" fontId="16" fillId="0" borderId="0" xfId="9" applyFont="1"/>
    <xf numFmtId="9" fontId="52" fillId="0" borderId="74" xfId="9" applyNumberFormat="1" applyFont="1" applyBorder="1" applyAlignment="1">
      <alignment horizontal="left"/>
    </xf>
    <xf numFmtId="0" fontId="18" fillId="0" borderId="71" xfId="9" applyBorder="1" applyAlignment="1">
      <alignment horizontal="left"/>
    </xf>
    <xf numFmtId="0" fontId="18" fillId="8" borderId="73" xfId="9" applyFill="1" applyBorder="1"/>
    <xf numFmtId="0" fontId="18" fillId="8" borderId="75" xfId="9" applyFill="1" applyBorder="1"/>
    <xf numFmtId="0" fontId="18" fillId="8" borderId="71" xfId="9" applyFill="1" applyBorder="1"/>
    <xf numFmtId="0" fontId="18" fillId="8" borderId="76" xfId="9" applyFill="1" applyBorder="1" applyAlignment="1">
      <alignment horizontal="center"/>
    </xf>
    <xf numFmtId="176" fontId="40" fillId="8" borderId="75" xfId="9" applyNumberFormat="1" applyFont="1" applyFill="1" applyBorder="1"/>
    <xf numFmtId="176" fontId="40" fillId="8" borderId="71" xfId="9" applyNumberFormat="1" applyFont="1" applyFill="1" applyBorder="1"/>
    <xf numFmtId="0" fontId="18" fillId="8" borderId="21" xfId="9" applyFill="1" applyBorder="1" applyAlignment="1">
      <alignment horizontal="center"/>
    </xf>
    <xf numFmtId="0" fontId="18" fillId="8" borderId="0" xfId="9" applyFill="1" applyAlignment="1">
      <alignment horizontal="center"/>
    </xf>
    <xf numFmtId="0" fontId="18" fillId="8" borderId="77" xfId="9" applyFill="1" applyBorder="1" applyAlignment="1">
      <alignment horizontal="center"/>
    </xf>
    <xf numFmtId="0" fontId="18" fillId="8" borderId="21" xfId="9" applyFill="1" applyBorder="1"/>
    <xf numFmtId="0" fontId="18" fillId="8" borderId="0" xfId="9" applyFill="1"/>
    <xf numFmtId="177" fontId="18" fillId="8" borderId="0" xfId="9" applyNumberFormat="1" applyFill="1" applyAlignment="1">
      <alignment horizontal="center"/>
    </xf>
    <xf numFmtId="177" fontId="18" fillId="0" borderId="0" xfId="9" applyNumberFormat="1" applyAlignment="1">
      <alignment horizontal="center"/>
    </xf>
    <xf numFmtId="0" fontId="18" fillId="0" borderId="78" xfId="5" applyFont="1" applyBorder="1" applyAlignment="1">
      <alignment horizontal="center"/>
    </xf>
    <xf numFmtId="2" fontId="18" fillId="0" borderId="79" xfId="5" applyNumberFormat="1" applyFont="1" applyBorder="1" applyAlignment="1">
      <alignment horizontal="center"/>
    </xf>
    <xf numFmtId="0" fontId="18" fillId="8" borderId="72" xfId="5" applyFont="1" applyFill="1" applyBorder="1" applyAlignment="1">
      <alignment horizontal="center"/>
    </xf>
    <xf numFmtId="9" fontId="18" fillId="8" borderId="72" xfId="5" applyNumberFormat="1" applyFont="1" applyFill="1" applyBorder="1" applyAlignment="1">
      <alignment horizontal="center"/>
    </xf>
    <xf numFmtId="178" fontId="18" fillId="8" borderId="72" xfId="9" applyNumberFormat="1" applyFill="1" applyBorder="1" applyAlignment="1">
      <alignment horizontal="center" wrapText="1"/>
    </xf>
    <xf numFmtId="0" fontId="18" fillId="0" borderId="0" xfId="5" applyFont="1" applyAlignment="1">
      <alignment horizontal="center" wrapText="1"/>
    </xf>
    <xf numFmtId="0" fontId="18" fillId="0" borderId="79" xfId="5" applyFont="1" applyBorder="1" applyAlignment="1">
      <alignment horizontal="center"/>
    </xf>
    <xf numFmtId="39" fontId="18" fillId="0" borderId="79" xfId="5" applyNumberFormat="1" applyFont="1" applyBorder="1" applyAlignment="1">
      <alignment horizontal="center"/>
    </xf>
    <xf numFmtId="3" fontId="16" fillId="7" borderId="78" xfId="9" applyNumberFormat="1" applyFont="1" applyFill="1" applyBorder="1" applyAlignment="1">
      <alignment horizontal="center"/>
    </xf>
    <xf numFmtId="3" fontId="16" fillId="9" borderId="73" xfId="9" applyNumberFormat="1" applyFont="1" applyFill="1" applyBorder="1" applyAlignment="1">
      <alignment horizontal="center"/>
    </xf>
    <xf numFmtId="3" fontId="16" fillId="10" borderId="73" xfId="9" applyNumberFormat="1" applyFont="1" applyFill="1" applyBorder="1" applyAlignment="1">
      <alignment horizontal="center"/>
    </xf>
    <xf numFmtId="3" fontId="18" fillId="0" borderId="0" xfId="9" applyNumberFormat="1" applyAlignment="1">
      <alignment horizontal="center"/>
    </xf>
    <xf numFmtId="6" fontId="18" fillId="0" borderId="0" xfId="9" applyNumberFormat="1"/>
    <xf numFmtId="3" fontId="18" fillId="0" borderId="0" xfId="9" applyNumberFormat="1"/>
    <xf numFmtId="0" fontId="50" fillId="0" borderId="0" xfId="9" applyFont="1"/>
    <xf numFmtId="6" fontId="18" fillId="0" borderId="49" xfId="0" applyNumberFormat="1" applyFont="1" applyBorder="1" applyAlignment="1">
      <alignment horizontal="center" vertical="center"/>
    </xf>
    <xf numFmtId="6" fontId="18" fillId="0" borderId="51" xfId="0" applyNumberFormat="1" applyFont="1" applyBorder="1" applyAlignment="1">
      <alignment horizontal="center" vertical="center"/>
    </xf>
    <xf numFmtId="0" fontId="0" fillId="0" borderId="38" xfId="0" applyBorder="1" applyAlignment="1">
      <alignment vertical="center"/>
    </xf>
    <xf numFmtId="0" fontId="18" fillId="0" borderId="39" xfId="0" applyFont="1" applyBorder="1" applyAlignment="1">
      <alignment horizontal="right" vertical="center"/>
    </xf>
    <xf numFmtId="0" fontId="22" fillId="5" borderId="81" xfId="0" applyFont="1" applyFill="1" applyBorder="1" applyAlignment="1">
      <alignment horizontal="center"/>
    </xf>
    <xf numFmtId="0" fontId="22" fillId="5" borderId="80" xfId="0" applyFont="1" applyFill="1" applyBorder="1" applyAlignment="1">
      <alignment horizontal="center"/>
    </xf>
    <xf numFmtId="6" fontId="18" fillId="0" borderId="0" xfId="0" applyNumberFormat="1" applyFont="1" applyBorder="1" applyAlignment="1">
      <alignment horizontal="right" vertical="center"/>
    </xf>
    <xf numFmtId="4" fontId="18" fillId="0" borderId="0" xfId="0" applyNumberFormat="1" applyFont="1" applyBorder="1" applyAlignment="1">
      <alignment horizontal="center" vertical="center"/>
    </xf>
    <xf numFmtId="4" fontId="18" fillId="0" borderId="1" xfId="0" applyNumberFormat="1" applyFont="1" applyBorder="1" applyAlignment="1">
      <alignment horizontal="center" vertical="center"/>
    </xf>
    <xf numFmtId="0" fontId="16" fillId="0" borderId="53" xfId="0" applyFont="1" applyBorder="1" applyAlignment="1">
      <alignment horizontal="center" vertical="center"/>
    </xf>
    <xf numFmtId="0" fontId="16" fillId="0" borderId="55" xfId="0" applyFont="1" applyBorder="1" applyAlignment="1">
      <alignment horizontal="center" vertical="center"/>
    </xf>
    <xf numFmtId="0" fontId="16" fillId="0" borderId="54" xfId="0" applyFont="1" applyBorder="1" applyAlignment="1">
      <alignment horizontal="center" vertical="center"/>
    </xf>
    <xf numFmtId="0" fontId="5" fillId="0" borderId="0" xfId="0" applyFont="1" applyBorder="1" applyAlignment="1" applyProtection="1">
      <alignment horizontal="right" vertical="center"/>
    </xf>
    <xf numFmtId="0" fontId="13" fillId="0" borderId="0" xfId="0" applyFont="1" applyBorder="1" applyAlignment="1" applyProtection="1">
      <alignment horizontal="left" vertical="center"/>
    </xf>
    <xf numFmtId="0" fontId="13" fillId="0" borderId="1" xfId="0" applyFont="1" applyBorder="1" applyAlignment="1" applyProtection="1">
      <alignment horizontal="left" vertical="center"/>
    </xf>
    <xf numFmtId="0" fontId="6" fillId="0" borderId="82" xfId="0" applyFont="1" applyBorder="1" applyAlignment="1" applyProtection="1">
      <alignment vertical="center"/>
    </xf>
    <xf numFmtId="0" fontId="53" fillId="0" borderId="82" xfId="0" applyFont="1" applyBorder="1" applyAlignment="1" applyProtection="1">
      <alignment vertical="center"/>
    </xf>
    <xf numFmtId="0" fontId="5" fillId="0" borderId="5" xfId="0" applyFont="1" applyBorder="1" applyAlignment="1" applyProtection="1">
      <alignment vertical="center"/>
    </xf>
    <xf numFmtId="169" fontId="18" fillId="0" borderId="0" xfId="2" applyNumberFormat="1" applyFont="1" applyBorder="1" applyAlignment="1">
      <alignment vertical="center"/>
    </xf>
    <xf numFmtId="0" fontId="18" fillId="0" borderId="0" xfId="0" applyFont="1" applyBorder="1" applyAlignment="1">
      <alignment vertical="center"/>
    </xf>
    <xf numFmtId="5" fontId="18" fillId="0" borderId="0" xfId="0" applyNumberFormat="1" applyFont="1" applyBorder="1" applyAlignment="1">
      <alignment vertical="center"/>
    </xf>
    <xf numFmtId="10" fontId="6" fillId="0" borderId="0" xfId="0" applyNumberFormat="1" applyFont="1" applyBorder="1" applyAlignment="1" applyProtection="1">
      <alignment vertical="center"/>
    </xf>
    <xf numFmtId="0" fontId="18" fillId="2" borderId="0" xfId="0" applyFont="1" applyFill="1" applyBorder="1" applyAlignment="1">
      <alignment vertical="center"/>
    </xf>
    <xf numFmtId="0" fontId="5" fillId="0" borderId="9" xfId="0" applyFont="1" applyBorder="1" applyAlignment="1" applyProtection="1">
      <alignment horizontal="right" vertical="center"/>
    </xf>
    <xf numFmtId="5" fontId="6" fillId="0" borderId="0" xfId="0" applyNumberFormat="1" applyFont="1" applyFill="1" applyBorder="1" applyAlignment="1" applyProtection="1">
      <alignment vertical="center"/>
    </xf>
    <xf numFmtId="4" fontId="6" fillId="0" borderId="82" xfId="0" applyNumberFormat="1" applyFont="1" applyBorder="1" applyAlignment="1" applyProtection="1">
      <alignment vertical="center"/>
    </xf>
    <xf numFmtId="0" fontId="6" fillId="0" borderId="83" xfId="0" applyFont="1" applyBorder="1" applyAlignment="1" applyProtection="1">
      <alignment vertical="center"/>
    </xf>
    <xf numFmtId="4" fontId="18" fillId="0" borderId="83" xfId="0" applyNumberFormat="1" applyFont="1" applyBorder="1" applyAlignment="1">
      <alignment horizontal="center" vertical="center"/>
    </xf>
    <xf numFmtId="0" fontId="18" fillId="0" borderId="0" xfId="0" applyFont="1" applyFill="1" applyBorder="1" applyAlignment="1">
      <alignment vertical="center"/>
    </xf>
    <xf numFmtId="0" fontId="18" fillId="0" borderId="11" xfId="0" applyFont="1" applyFill="1" applyBorder="1" applyAlignment="1">
      <alignment vertical="center"/>
    </xf>
    <xf numFmtId="0" fontId="19" fillId="0" borderId="3" xfId="0" applyFont="1" applyBorder="1" applyAlignment="1" applyProtection="1">
      <alignment horizontal="right" vertical="center" indent="1"/>
    </xf>
    <xf numFmtId="0" fontId="0" fillId="0" borderId="49" xfId="0" applyBorder="1" applyAlignment="1">
      <alignment vertical="center"/>
    </xf>
    <xf numFmtId="0" fontId="14" fillId="0" borderId="82" xfId="0" applyFont="1" applyBorder="1" applyAlignment="1" applyProtection="1">
      <alignment vertical="center"/>
    </xf>
    <xf numFmtId="0" fontId="18" fillId="0" borderId="83" xfId="0" applyFont="1" applyBorder="1" applyAlignment="1" applyProtection="1">
      <alignment vertical="center"/>
    </xf>
    <xf numFmtId="0" fontId="6" fillId="0" borderId="83" xfId="0" applyFont="1" applyBorder="1" applyAlignment="1">
      <alignment vertical="center"/>
    </xf>
    <xf numFmtId="0" fontId="6" fillId="0" borderId="0" xfId="8" applyNumberFormat="1" applyFont="1" applyBorder="1" applyAlignment="1" applyProtection="1">
      <alignment vertical="center"/>
    </xf>
    <xf numFmtId="0" fontId="53" fillId="0" borderId="3" xfId="0" applyFont="1" applyBorder="1" applyAlignment="1" applyProtection="1">
      <alignment vertical="center"/>
    </xf>
    <xf numFmtId="0" fontId="18" fillId="0" borderId="38" xfId="0" applyFont="1" applyBorder="1" applyAlignment="1">
      <alignment horizontal="right" vertical="center"/>
    </xf>
    <xf numFmtId="0" fontId="16" fillId="0" borderId="38" xfId="0" applyFont="1" applyBorder="1" applyAlignment="1">
      <alignment horizontal="center" vertical="center"/>
    </xf>
    <xf numFmtId="6" fontId="18" fillId="0" borderId="38" xfId="0" applyNumberFormat="1" applyFont="1" applyBorder="1" applyAlignment="1">
      <alignment horizontal="center" vertical="center"/>
    </xf>
    <xf numFmtId="4" fontId="27" fillId="0" borderId="82" xfId="0" applyNumberFormat="1" applyFont="1" applyBorder="1" applyAlignment="1" applyProtection="1">
      <alignment vertical="center"/>
    </xf>
    <xf numFmtId="0" fontId="18" fillId="0" borderId="6" xfId="0" applyFont="1" applyBorder="1" applyAlignment="1" applyProtection="1">
      <alignment vertical="center"/>
    </xf>
    <xf numFmtId="168" fontId="18" fillId="0" borderId="0" xfId="0" applyNumberFormat="1" applyFont="1" applyBorder="1" applyAlignment="1">
      <alignment horizontal="right" vertical="center"/>
    </xf>
    <xf numFmtId="0" fontId="54" fillId="0" borderId="0" xfId="0" applyFont="1" applyBorder="1" applyAlignment="1">
      <alignment vertical="center"/>
    </xf>
    <xf numFmtId="0" fontId="6" fillId="0" borderId="57" xfId="0" applyFont="1" applyBorder="1" applyAlignment="1" applyProtection="1">
      <alignment horizontal="right" vertical="center"/>
    </xf>
    <xf numFmtId="6" fontId="0" fillId="0" borderId="57" xfId="0" applyNumberFormat="1" applyBorder="1" applyAlignment="1">
      <alignment horizontal="center" vertical="center"/>
    </xf>
    <xf numFmtId="0" fontId="6" fillId="0" borderId="38" xfId="0" applyFont="1" applyBorder="1" applyAlignment="1" applyProtection="1">
      <alignment vertical="center"/>
    </xf>
    <xf numFmtId="0" fontId="14" fillId="0" borderId="5" xfId="0" applyFont="1" applyBorder="1" applyAlignment="1" applyProtection="1">
      <alignment vertical="center"/>
    </xf>
    <xf numFmtId="10" fontId="18" fillId="0" borderId="11" xfId="0" applyNumberFormat="1" applyFont="1" applyBorder="1" applyAlignment="1">
      <alignment vertical="center"/>
    </xf>
    <xf numFmtId="0" fontId="14" fillId="0" borderId="9" xfId="0" applyFont="1" applyBorder="1" applyAlignment="1" applyProtection="1">
      <alignment vertical="center"/>
    </xf>
    <xf numFmtId="0" fontId="18" fillId="0" borderId="9" xfId="0" applyFont="1" applyBorder="1" applyAlignment="1" applyProtection="1">
      <alignment vertical="center"/>
    </xf>
    <xf numFmtId="0" fontId="18" fillId="0" borderId="0" xfId="0" applyFont="1" applyBorder="1" applyAlignment="1" applyProtection="1">
      <alignment vertical="center"/>
    </xf>
    <xf numFmtId="6" fontId="3" fillId="0" borderId="0" xfId="0" applyNumberFormat="1" applyFont="1" applyBorder="1" applyAlignment="1">
      <alignment vertical="center"/>
    </xf>
    <xf numFmtId="4" fontId="6" fillId="0" borderId="82" xfId="0" applyNumberFormat="1" applyFont="1" applyBorder="1" applyAlignment="1" applyProtection="1">
      <alignment horizontal="left" vertical="center"/>
    </xf>
    <xf numFmtId="4" fontId="34" fillId="0" borderId="0" xfId="0" applyNumberFormat="1" applyFont="1" applyBorder="1" applyAlignment="1" applyProtection="1">
      <alignment vertical="center"/>
    </xf>
    <xf numFmtId="4" fontId="34" fillId="0" borderId="83" xfId="0" applyNumberFormat="1" applyFont="1" applyBorder="1" applyAlignment="1" applyProtection="1">
      <alignment vertical="center"/>
    </xf>
    <xf numFmtId="0" fontId="6" fillId="0" borderId="0" xfId="0" applyFont="1" applyBorder="1" applyAlignment="1" applyProtection="1">
      <alignment horizontal="right" vertical="center" wrapText="1"/>
    </xf>
    <xf numFmtId="6" fontId="3" fillId="0" borderId="0" xfId="0" applyNumberFormat="1" applyFont="1" applyBorder="1" applyAlignment="1">
      <alignment horizontal="center" vertical="center" wrapText="1"/>
    </xf>
    <xf numFmtId="6" fontId="3" fillId="0" borderId="83" xfId="0" applyNumberFormat="1" applyFont="1" applyBorder="1" applyAlignment="1">
      <alignment horizontal="center" vertical="center" wrapText="1"/>
    </xf>
    <xf numFmtId="0" fontId="16" fillId="0" borderId="86" xfId="0" applyFont="1" applyBorder="1" applyAlignment="1">
      <alignment vertical="center"/>
    </xf>
    <xf numFmtId="0" fontId="16" fillId="0" borderId="61" xfId="0" applyFont="1" applyBorder="1" applyAlignment="1">
      <alignment vertical="center"/>
    </xf>
    <xf numFmtId="0" fontId="34" fillId="0" borderId="0" xfId="9" applyFont="1" applyAlignment="1">
      <alignment horizontal="left"/>
    </xf>
    <xf numFmtId="0" fontId="18" fillId="11" borderId="0" xfId="9" applyFill="1"/>
    <xf numFmtId="9" fontId="18" fillId="0" borderId="0" xfId="8" applyFont="1" applyBorder="1"/>
    <xf numFmtId="0" fontId="18" fillId="0" borderId="73" xfId="9" applyBorder="1" applyAlignment="1">
      <alignment wrapText="1"/>
    </xf>
    <xf numFmtId="3" fontId="55" fillId="0" borderId="0" xfId="9" applyNumberFormat="1" applyFont="1"/>
    <xf numFmtId="0" fontId="55" fillId="0" borderId="0" xfId="9" applyFont="1" applyAlignment="1">
      <alignment horizontal="left"/>
    </xf>
    <xf numFmtId="0" fontId="16" fillId="0" borderId="73" xfId="9" applyFont="1" applyBorder="1" applyAlignment="1">
      <alignment wrapText="1"/>
    </xf>
    <xf numFmtId="0" fontId="56" fillId="0" borderId="0" xfId="9" applyFont="1" applyAlignment="1">
      <alignment wrapText="1"/>
    </xf>
    <xf numFmtId="0" fontId="18" fillId="0" borderId="21" xfId="9" applyBorder="1" applyAlignment="1">
      <alignment horizontal="right"/>
    </xf>
    <xf numFmtId="0" fontId="18" fillId="0" borderId="0" xfId="9" applyAlignment="1">
      <alignment horizontal="center" wrapText="1"/>
    </xf>
    <xf numFmtId="0" fontId="26" fillId="11" borderId="77" xfId="9" applyFont="1" applyFill="1" applyBorder="1" applyAlignment="1">
      <alignment horizontal="right"/>
    </xf>
    <xf numFmtId="0" fontId="51" fillId="6" borderId="73" xfId="9" applyFont="1" applyFill="1" applyBorder="1" applyAlignment="1">
      <alignment horizontal="center"/>
    </xf>
    <xf numFmtId="170" fontId="1" fillId="0" borderId="0" xfId="12" applyNumberFormat="1" applyAlignment="1">
      <alignment horizontal="center"/>
    </xf>
    <xf numFmtId="0" fontId="18" fillId="0" borderId="21" xfId="9" applyBorder="1" applyAlignment="1">
      <alignment horizontal="center" vertical="center"/>
    </xf>
    <xf numFmtId="0" fontId="16" fillId="8" borderId="87" xfId="5" applyFont="1" applyFill="1" applyBorder="1" applyAlignment="1">
      <alignment horizontal="center" vertical="center"/>
    </xf>
    <xf numFmtId="0" fontId="16" fillId="11" borderId="77" xfId="5" applyFont="1" applyFill="1" applyBorder="1" applyAlignment="1">
      <alignment horizontal="center" vertical="center"/>
    </xf>
    <xf numFmtId="0" fontId="16" fillId="11" borderId="0" xfId="9" applyFont="1" applyFill="1"/>
    <xf numFmtId="0" fontId="16" fillId="8" borderId="88" xfId="5" applyFont="1" applyFill="1" applyBorder="1" applyAlignment="1">
      <alignment horizontal="center" vertical="center"/>
    </xf>
    <xf numFmtId="9" fontId="16" fillId="6" borderId="73" xfId="9" applyNumberFormat="1" applyFont="1" applyFill="1" applyBorder="1" applyAlignment="1">
      <alignment horizontal="center"/>
    </xf>
    <xf numFmtId="0" fontId="16" fillId="8" borderId="89" xfId="5" applyFont="1" applyFill="1" applyBorder="1" applyAlignment="1">
      <alignment horizontal="center" vertical="center"/>
    </xf>
    <xf numFmtId="173" fontId="18" fillId="0" borderId="0" xfId="13" applyNumberFormat="1" applyFont="1" applyBorder="1"/>
    <xf numFmtId="43" fontId="18" fillId="0" borderId="0" xfId="9" applyNumberFormat="1"/>
    <xf numFmtId="170" fontId="1" fillId="0" borderId="25" xfId="12" applyNumberFormat="1" applyBorder="1" applyAlignment="1">
      <alignment horizontal="center"/>
    </xf>
    <xf numFmtId="170" fontId="1" fillId="0" borderId="72" xfId="12" applyNumberFormat="1" applyBorder="1" applyAlignment="1">
      <alignment horizontal="center"/>
    </xf>
    <xf numFmtId="0" fontId="18" fillId="0" borderId="72" xfId="9" applyBorder="1"/>
    <xf numFmtId="170" fontId="18" fillId="11" borderId="72" xfId="9" applyNumberFormat="1" applyFill="1" applyBorder="1"/>
    <xf numFmtId="0" fontId="18" fillId="11" borderId="90" xfId="9" applyFill="1" applyBorder="1"/>
    <xf numFmtId="0" fontId="34" fillId="0" borderId="0" xfId="9" applyFont="1"/>
    <xf numFmtId="0" fontId="18" fillId="8" borderId="25" xfId="9" applyFill="1" applyBorder="1" applyAlignment="1">
      <alignment horizontal="center"/>
    </xf>
    <xf numFmtId="44" fontId="16" fillId="7" borderId="73" xfId="14" applyFont="1" applyFill="1" applyBorder="1" applyAlignment="1">
      <alignment horizontal="center"/>
    </xf>
    <xf numFmtId="173" fontId="16" fillId="5" borderId="11" xfId="1" applyNumberFormat="1" applyFont="1" applyFill="1" applyBorder="1"/>
    <xf numFmtId="0" fontId="5" fillId="0" borderId="0" xfId="0" applyNumberFormat="1" applyFont="1" applyBorder="1" applyAlignment="1" applyProtection="1">
      <alignment vertical="center"/>
    </xf>
    <xf numFmtId="37" fontId="6" fillId="0" borderId="3" xfId="0" applyNumberFormat="1" applyFont="1" applyBorder="1" applyAlignment="1" applyProtection="1">
      <alignment horizontal="left" indent="1"/>
    </xf>
    <xf numFmtId="0" fontId="22" fillId="0" borderId="0" xfId="0" applyFont="1" applyAlignment="1">
      <alignment horizontal="left" wrapText="1" indent="2"/>
    </xf>
    <xf numFmtId="0" fontId="0" fillId="0" borderId="0" xfId="0" applyAlignment="1">
      <alignment horizontal="left" wrapText="1" indent="2"/>
    </xf>
    <xf numFmtId="0" fontId="18" fillId="0" borderId="0" xfId="0" applyFont="1" applyBorder="1" applyAlignment="1">
      <alignment horizontal="center" vertical="center"/>
    </xf>
    <xf numFmtId="0" fontId="18" fillId="0" borderId="49" xfId="0" applyFont="1" applyBorder="1" applyAlignment="1">
      <alignment horizontal="center" vertical="center"/>
    </xf>
    <xf numFmtId="0" fontId="18" fillId="0" borderId="3" xfId="0" applyFont="1" applyBorder="1" applyAlignment="1">
      <alignment horizontal="left" vertical="center"/>
    </xf>
    <xf numFmtId="0" fontId="22" fillId="2" borderId="0" xfId="2" applyNumberFormat="1" applyFont="1" applyFill="1" applyBorder="1" applyAlignment="1">
      <alignment horizontal="center" vertical="center" wrapText="1"/>
    </xf>
    <xf numFmtId="6" fontId="34" fillId="0" borderId="0" xfId="0" applyNumberFormat="1" applyFont="1" applyBorder="1" applyAlignment="1">
      <alignment horizontal="center" vertical="center"/>
    </xf>
    <xf numFmtId="6" fontId="34" fillId="0" borderId="83" xfId="0" applyNumberFormat="1" applyFont="1" applyBorder="1" applyAlignment="1">
      <alignment horizontal="center" vertical="center"/>
    </xf>
    <xf numFmtId="4" fontId="34" fillId="0" borderId="0" xfId="0" applyNumberFormat="1" applyFont="1" applyBorder="1" applyAlignment="1" applyProtection="1">
      <alignment horizontal="center" vertical="center"/>
    </xf>
    <xf numFmtId="4" fontId="34" fillId="0" borderId="83" xfId="0" applyNumberFormat="1" applyFont="1" applyBorder="1" applyAlignment="1" applyProtection="1">
      <alignment horizontal="center" vertical="center"/>
    </xf>
    <xf numFmtId="0" fontId="0" fillId="0" borderId="0" xfId="0" applyBorder="1" applyAlignment="1">
      <alignment horizontal="center" vertical="center"/>
    </xf>
    <xf numFmtId="0" fontId="13" fillId="0" borderId="31" xfId="0" applyFont="1" applyBorder="1" applyAlignment="1" applyProtection="1">
      <alignment horizontal="left" vertical="center"/>
    </xf>
    <xf numFmtId="0" fontId="13" fillId="0" borderId="32" xfId="0" applyFont="1" applyBorder="1" applyAlignment="1" applyProtection="1">
      <alignment horizontal="left" vertical="center"/>
    </xf>
    <xf numFmtId="0" fontId="13" fillId="0" borderId="33" xfId="0" applyFont="1" applyBorder="1" applyAlignment="1" applyProtection="1">
      <alignment horizontal="left" vertical="center"/>
    </xf>
    <xf numFmtId="0" fontId="3" fillId="0" borderId="38" xfId="0" applyFont="1" applyBorder="1" applyAlignment="1">
      <alignment horizontal="left" vertical="center" wrapText="1"/>
    </xf>
    <xf numFmtId="0" fontId="3" fillId="0" borderId="49" xfId="0" applyFont="1" applyBorder="1" applyAlignment="1">
      <alignment horizontal="left" vertical="center" wrapText="1"/>
    </xf>
    <xf numFmtId="0" fontId="3" fillId="0" borderId="39" xfId="0" applyFont="1" applyBorder="1" applyAlignment="1">
      <alignment horizontal="left" vertical="center"/>
    </xf>
    <xf numFmtId="0" fontId="3" fillId="0" borderId="51" xfId="0" applyFont="1" applyBorder="1" applyAlignment="1">
      <alignment horizontal="left" vertical="center"/>
    </xf>
    <xf numFmtId="0" fontId="36" fillId="0" borderId="0" xfId="6" applyFont="1" applyAlignment="1">
      <alignment horizontal="left" wrapText="1"/>
    </xf>
    <xf numFmtId="0" fontId="3" fillId="0" borderId="0" xfId="6" applyAlignment="1">
      <alignment wrapText="1"/>
    </xf>
    <xf numFmtId="0" fontId="18" fillId="8" borderId="78" xfId="9" applyFill="1" applyBorder="1" applyAlignment="1">
      <alignment horizontal="center"/>
    </xf>
    <xf numFmtId="0" fontId="18" fillId="8" borderId="94" xfId="9" applyFill="1" applyBorder="1" applyAlignment="1">
      <alignment horizontal="center"/>
    </xf>
    <xf numFmtId="0" fontId="18" fillId="8" borderId="74" xfId="9" applyFill="1" applyBorder="1" applyAlignment="1">
      <alignment horizontal="center" vertical="center" wrapText="1"/>
    </xf>
    <xf numFmtId="0" fontId="18" fillId="8" borderId="84" xfId="9" applyFill="1" applyBorder="1" applyAlignment="1">
      <alignment horizontal="center" vertical="center" wrapText="1"/>
    </xf>
    <xf numFmtId="0" fontId="18" fillId="8" borderId="85" xfId="9" applyFill="1" applyBorder="1" applyAlignment="1">
      <alignment horizontal="center" vertical="center" wrapText="1"/>
    </xf>
    <xf numFmtId="0" fontId="18" fillId="8" borderId="73" xfId="9" applyFill="1" applyBorder="1" applyAlignment="1">
      <alignment horizontal="center" wrapText="1"/>
    </xf>
    <xf numFmtId="0" fontId="0" fillId="8" borderId="74" xfId="5" applyFont="1" applyFill="1" applyBorder="1" applyAlignment="1">
      <alignment horizontal="center" vertical="center" wrapText="1"/>
    </xf>
    <xf numFmtId="0" fontId="18" fillId="8" borderId="84" xfId="5" applyFont="1" applyFill="1" applyBorder="1" applyAlignment="1">
      <alignment horizontal="center" vertical="center" wrapText="1"/>
    </xf>
    <xf numFmtId="0" fontId="18" fillId="8" borderId="85" xfId="5" applyFont="1" applyFill="1" applyBorder="1" applyAlignment="1">
      <alignment horizontal="center" vertical="center" wrapText="1"/>
    </xf>
    <xf numFmtId="177" fontId="18" fillId="8" borderId="74" xfId="9" applyNumberFormat="1" applyFill="1" applyBorder="1" applyAlignment="1">
      <alignment horizontal="center" vertical="center" wrapText="1"/>
    </xf>
    <xf numFmtId="177" fontId="18" fillId="8" borderId="84" xfId="9" applyNumberFormat="1" applyFill="1" applyBorder="1" applyAlignment="1">
      <alignment horizontal="center" vertical="center" wrapText="1"/>
    </xf>
    <xf numFmtId="177" fontId="18" fillId="8" borderId="85" xfId="9" applyNumberFormat="1" applyFill="1" applyBorder="1" applyAlignment="1">
      <alignment horizontal="center" vertical="center" wrapText="1"/>
    </xf>
    <xf numFmtId="0" fontId="40" fillId="0" borderId="75" xfId="9" applyFont="1" applyBorder="1" applyAlignment="1">
      <alignment horizontal="center"/>
    </xf>
    <xf numFmtId="0" fontId="40" fillId="0" borderId="71" xfId="9" applyFont="1" applyBorder="1" applyAlignment="1">
      <alignment horizontal="center"/>
    </xf>
    <xf numFmtId="0" fontId="40" fillId="0" borderId="76" xfId="9" applyFont="1" applyBorder="1" applyAlignment="1">
      <alignment horizontal="center"/>
    </xf>
    <xf numFmtId="0" fontId="57" fillId="11" borderId="0" xfId="9" applyFont="1" applyFill="1" applyAlignment="1">
      <alignment horizontal="center"/>
    </xf>
    <xf numFmtId="0" fontId="58" fillId="0" borderId="0" xfId="9" applyFont="1" applyAlignment="1">
      <alignment horizontal="center" wrapText="1"/>
    </xf>
    <xf numFmtId="9" fontId="40" fillId="12" borderId="91" xfId="8" applyFont="1" applyFill="1" applyBorder="1" applyAlignment="1">
      <alignment horizontal="center"/>
    </xf>
    <xf numFmtId="9" fontId="40" fillId="12" borderId="92" xfId="8" applyFont="1" applyFill="1" applyBorder="1" applyAlignment="1">
      <alignment horizontal="center"/>
    </xf>
    <xf numFmtId="9" fontId="40" fillId="12" borderId="93" xfId="8" applyFont="1" applyFill="1" applyBorder="1" applyAlignment="1">
      <alignment horizontal="center"/>
    </xf>
    <xf numFmtId="0" fontId="36" fillId="0" borderId="0" xfId="6" applyFont="1" applyBorder="1" applyAlignment="1">
      <alignment horizontal="left" indent="1"/>
    </xf>
    <xf numFmtId="0" fontId="36" fillId="0" borderId="0" xfId="6" applyFont="1" applyBorder="1" applyAlignment="1"/>
    <xf numFmtId="0" fontId="37" fillId="0" borderId="0" xfId="6" applyFont="1" applyAlignment="1"/>
    <xf numFmtId="0" fontId="3" fillId="0" borderId="0" xfId="6" applyBorder="1" applyAlignment="1"/>
    <xf numFmtId="0" fontId="36" fillId="0" borderId="0" xfId="6" applyFont="1" applyFill="1" applyBorder="1" applyAlignment="1"/>
    <xf numFmtId="0" fontId="37" fillId="0" borderId="0" xfId="6" applyFont="1" applyBorder="1" applyAlignment="1"/>
    <xf numFmtId="0" fontId="3" fillId="0" borderId="0" xfId="6" applyAlignment="1"/>
  </cellXfs>
  <cellStyles count="15">
    <cellStyle name="Comma" xfId="1" builtinId="3"/>
    <cellStyle name="Comma 2" xfId="13" xr:uid="{E3A23EA9-777F-47CD-90D7-643E0AE1A87E}"/>
    <cellStyle name="Currency" xfId="2" builtinId="4"/>
    <cellStyle name="Currency 2" xfId="14" xr:uid="{A2605101-4304-44BD-84B3-3E71DDF42957}"/>
    <cellStyle name="Normal" xfId="0" builtinId="0"/>
    <cellStyle name="Normal 2" xfId="3" xr:uid="{00000000-0005-0000-0000-000003000000}"/>
    <cellStyle name="Normal 3" xfId="9" xr:uid="{17A2FBC2-EB90-4041-9CD5-EFF8AD183E2B}"/>
    <cellStyle name="Normal 3 2" xfId="10" xr:uid="{7C715AF4-8F8F-466A-A028-BD6AFB11C744}"/>
    <cellStyle name="Normal 3 3" xfId="12" xr:uid="{72FEDCB1-178C-4D5A-9A8A-52778DE98567}"/>
    <cellStyle name="Normal 4" xfId="11" xr:uid="{1BB80CF1-5E65-4B2F-8619-06E6E5A0AD2E}"/>
    <cellStyle name="Normal_1471bedford" xfId="4" xr:uid="{00000000-0005-0000-0000-000004000000}"/>
    <cellStyle name="Normal_coop sale price analysis v2" xfId="5" xr:uid="{00000000-0005-0000-0000-000005000000}"/>
    <cellStyle name="Normal_Form F - Financing Proposal" xfId="6" xr:uid="{00000000-0005-0000-0000-000006000000}"/>
    <cellStyle name="Percent" xfId="7" builtinId="5"/>
    <cellStyle name="Percent 2" xfId="8" xr:uid="{2B68880A-77DF-4660-BCDB-26B03CFEB369}"/>
  </cellStyles>
  <dxfs count="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134858</xdr:colOff>
      <xdr:row>43</xdr:row>
      <xdr:rowOff>67828</xdr:rowOff>
    </xdr:to>
    <xdr:pic>
      <xdr:nvPicPr>
        <xdr:cNvPr id="2" name="Picture 1">
          <a:extLst>
            <a:ext uri="{FF2B5EF4-FFF2-40B4-BE49-F238E27FC236}">
              <a16:creationId xmlns:a16="http://schemas.microsoft.com/office/drawing/2014/main" id="{F6B0C3CF-19C9-4E64-973C-8F42729142EE}"/>
            </a:ext>
          </a:extLst>
        </xdr:cNvPr>
        <xdr:cNvPicPr>
          <a:picLocks noChangeAspect="1"/>
        </xdr:cNvPicPr>
      </xdr:nvPicPr>
      <xdr:blipFill>
        <a:blip xmlns:r="http://schemas.openxmlformats.org/officeDocument/2006/relationships" r:embed="rId1"/>
        <a:stretch>
          <a:fillRect/>
        </a:stretch>
      </xdr:blipFill>
      <xdr:spPr>
        <a:xfrm>
          <a:off x="0" y="0"/>
          <a:ext cx="10802858" cy="82593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andy%20Rad/Local%20Settings/Temporary%20Internet%20Files/OLK18F/Casablanca%20Houses82806%2075%20k%20in%20subsidy%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hpdnetapp001m\home_ag$\WINDOWS\Temporary%20Internet%20Files\Content.IE5\335PUELY\NHOP\VillageCar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WINDOWS\Temporary%20Internet%20Files\Content.IE5\335PUELY\2001%20Series%20C,%20Sept%202001\East%20148th%20Street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pring%20Creek%20I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WINDOWS\Temporary%20Internet%20Files\Content.IE5\335PUELY\PLP--Round%20III\670stann.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R:\DEV-DNC\1.%20General%20Admin\1.%20Resources\AMIs\2024\EXTERNAL%202024%20AMI%20rent%20calcs%20-%203%20percent%20Marketing%20Band%204.16.2024.xlsx" TargetMode="External"/><Relationship Id="rId1" Type="http://schemas.openxmlformats.org/officeDocument/2006/relationships/externalLinkPath" Target="file:///R:\DEV-DNC\1.%20General%20Admin\1.%20Resources\AMIs\2024\EXTERNAL%202024%20AMI%20rent%20calcs%20-%203%20percent%20Marketing%20Band%204.16.20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HPD\Every%20Necessary%20Document\AMIs\2022%20AMI%20rent%20calc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hared/PLP/plp%20shells/Credit%20Memo%20PLP%20Shell%202006%20B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s and Uses"/>
      <sheetName val="Unit Distrib."/>
      <sheetName val="m &amp; O"/>
      <sheetName val="Devel. Bud"/>
      <sheetName val="Mort"/>
      <sheetName val="Cred Memo"/>
      <sheetName val="Sheet2"/>
      <sheetName val="Menu"/>
      <sheetName val="#REF"/>
      <sheetName val="2. mort"/>
      <sheetName val="2. units &amp; income"/>
      <sheetName val="Deprec"/>
      <sheetName val="1) Data"/>
    </sheetNames>
    <sheetDataSet>
      <sheetData sheetId="0" refreshError="1"/>
      <sheetData sheetId="1" refreshError="1"/>
      <sheetData sheetId="2" refreshError="1"/>
      <sheetData sheetId="3" refreshError="1"/>
      <sheetData sheetId="4" refreshError="1"/>
      <sheetData sheetId="5" refreshError="1">
        <row r="2">
          <cell r="B2" t="str">
            <v>Project Summary</v>
          </cell>
        </row>
        <row r="3">
          <cell r="B3" t="str">
            <v xml:space="preserve"> Project Name </v>
          </cell>
          <cell r="C3" t="str">
            <v>Casablanca</v>
          </cell>
        </row>
        <row r="4">
          <cell r="B4" t="str">
            <v xml:space="preserve"> HPD Project Manager</v>
          </cell>
          <cell r="C4" t="str">
            <v>Shawn Larson</v>
          </cell>
        </row>
        <row r="5">
          <cell r="B5" t="str">
            <v xml:space="preserve"> Formerly City-Owned Site</v>
          </cell>
        </row>
        <row r="6">
          <cell r="B6" t="str">
            <v xml:space="preserve"> HPD Program</v>
          </cell>
          <cell r="C6" t="str">
            <v>Multi-Family New Construction</v>
          </cell>
        </row>
        <row r="7">
          <cell r="B7" t="str">
            <v xml:space="preserve"> Development Category</v>
          </cell>
          <cell r="C7" t="str">
            <v>New Construction</v>
          </cell>
        </row>
        <row r="8">
          <cell r="B8" t="str">
            <v xml:space="preserve"> Occupancy Type</v>
          </cell>
          <cell r="C8" t="str">
            <v>Rental</v>
          </cell>
        </row>
        <row r="9">
          <cell r="B9" t="str">
            <v xml:space="preserve"> Number of Buildings</v>
          </cell>
          <cell r="C9">
            <v>1</v>
          </cell>
        </row>
        <row r="10">
          <cell r="B10" t="str">
            <v xml:space="preserve"> Number of Stories</v>
          </cell>
          <cell r="C10">
            <v>7</v>
          </cell>
        </row>
        <row r="15">
          <cell r="B15" t="str">
            <v>Square Footage</v>
          </cell>
          <cell r="C15" t="str">
            <v>Gross</v>
          </cell>
          <cell r="D15" t="str">
            <v>Net</v>
          </cell>
        </row>
        <row r="16">
          <cell r="B16" t="str">
            <v>Residential</v>
          </cell>
          <cell r="C16">
            <v>40220</v>
          </cell>
          <cell r="D16">
            <v>31851</v>
          </cell>
        </row>
        <row r="17">
          <cell r="B17" t="str">
            <v>Commercial/Retail</v>
          </cell>
          <cell r="C17">
            <v>8840</v>
          </cell>
        </row>
        <row r="18">
          <cell r="B18" t="str">
            <v>Community Facility</v>
          </cell>
          <cell r="C18">
            <v>0</v>
          </cell>
        </row>
        <row r="19">
          <cell r="B19" t="str">
            <v>Other</v>
          </cell>
        </row>
        <row r="21">
          <cell r="B21" t="str">
            <v>Total Square Feet</v>
          </cell>
          <cell r="C21">
            <v>49060</v>
          </cell>
          <cell r="D21">
            <v>31851</v>
          </cell>
        </row>
        <row r="25">
          <cell r="B25" t="str">
            <v>Number of Parking Spaces</v>
          </cell>
          <cell r="C25">
            <v>0</v>
          </cell>
        </row>
        <row r="30">
          <cell r="B30" t="str">
            <v>Unit Breakdown by Rent Level</v>
          </cell>
          <cell r="C30" t="str">
            <v># Units</v>
          </cell>
          <cell r="D30" t="str">
            <v>% of Total</v>
          </cell>
        </row>
        <row r="31">
          <cell r="B31" t="str">
            <v>Market Rate</v>
          </cell>
          <cell r="C31">
            <v>37</v>
          </cell>
          <cell r="D31">
            <v>0.77083333333333337</v>
          </cell>
        </row>
        <row r="32">
          <cell r="B32" t="str">
            <v>High HOME (Tax Credit)</v>
          </cell>
          <cell r="C32">
            <v>8</v>
          </cell>
          <cell r="D32">
            <v>0.16666666666666666</v>
          </cell>
        </row>
        <row r="33">
          <cell r="B33" t="str">
            <v>Low HOME (Tax Credit)</v>
          </cell>
          <cell r="C33">
            <v>3</v>
          </cell>
          <cell r="D33">
            <v>6.25E-2</v>
          </cell>
        </row>
        <row r="34">
          <cell r="B34" t="str">
            <v>Non-HOME Tax Credit</v>
          </cell>
          <cell r="C34">
            <v>0</v>
          </cell>
          <cell r="D34">
            <v>0</v>
          </cell>
        </row>
        <row r="35">
          <cell r="B35" t="str">
            <v>Other</v>
          </cell>
          <cell r="C35">
            <v>0</v>
          </cell>
          <cell r="D35">
            <v>0</v>
          </cell>
        </row>
        <row r="36">
          <cell r="B36" t="str">
            <v xml:space="preserve">  Subtotal</v>
          </cell>
          <cell r="C36">
            <v>48</v>
          </cell>
          <cell r="D36">
            <v>1</v>
          </cell>
        </row>
        <row r="38">
          <cell r="B38" t="str">
            <v>Super's Unit</v>
          </cell>
          <cell r="C38">
            <v>0</v>
          </cell>
        </row>
        <row r="40">
          <cell r="B40" t="str">
            <v>Total Units</v>
          </cell>
          <cell r="C40">
            <v>48</v>
          </cell>
        </row>
        <row r="41">
          <cell r="B41" t="str">
            <v>Total Rooms / Average Rms/du</v>
          </cell>
          <cell r="C41">
            <v>137</v>
          </cell>
          <cell r="D41">
            <v>2.8541666666666665</v>
          </cell>
        </row>
        <row r="44">
          <cell r="B44" t="str">
            <v># of units for formerly homeless tenants</v>
          </cell>
          <cell r="C44">
            <v>0</v>
          </cell>
          <cell r="D44">
            <v>0</v>
          </cell>
        </row>
        <row r="45">
          <cell r="B45" t="str">
            <v>Percentage homeless units</v>
          </cell>
          <cell r="C45">
            <v>0</v>
          </cell>
          <cell r="D45">
            <v>0</v>
          </cell>
        </row>
        <row r="49">
          <cell r="B49" t="str">
            <v>Location Information</v>
          </cell>
        </row>
        <row r="50">
          <cell r="B50" t="str">
            <v>Borough &amp; Neighborhood</v>
          </cell>
          <cell r="C50" t="str">
            <v xml:space="preserve">Manhattan </v>
          </cell>
        </row>
        <row r="51">
          <cell r="B51" t="str">
            <v>Address</v>
          </cell>
          <cell r="C51" t="str">
            <v>121-125 E. 110th St</v>
          </cell>
        </row>
        <row r="52">
          <cell r="B52" t="str">
            <v>Community Board</v>
          </cell>
          <cell r="C52">
            <v>11</v>
          </cell>
        </row>
        <row r="53">
          <cell r="B53" t="str">
            <v>Block / Lot(s)</v>
          </cell>
          <cell r="C53" t="str">
            <v>1638 / 7,8,9,10</v>
          </cell>
        </row>
        <row r="57">
          <cell r="B57" t="str">
            <v>Development Team</v>
          </cell>
        </row>
        <row r="58">
          <cell r="B58" t="str">
            <v>Owner / Borrower</v>
          </cell>
          <cell r="C58" t="str">
            <v>121-125 E. 110th St, LLC, Principal Luis Perez</v>
          </cell>
        </row>
        <row r="59">
          <cell r="B59" t="str">
            <v>Community Sponsor</v>
          </cell>
          <cell r="C59" t="str">
            <v>None</v>
          </cell>
        </row>
        <row r="60">
          <cell r="B60" t="str">
            <v>General Contractor</v>
          </cell>
          <cell r="C60" t="str">
            <v>CatsPaw</v>
          </cell>
        </row>
        <row r="61">
          <cell r="B61" t="str">
            <v>Managing Agent</v>
          </cell>
          <cell r="C61" t="str">
            <v>N/A</v>
          </cell>
        </row>
        <row r="66">
          <cell r="B66" t="str">
            <v>Financing Information</v>
          </cell>
        </row>
        <row r="67">
          <cell r="B67" t="str">
            <v>Construction Lender</v>
          </cell>
          <cell r="C67" t="str">
            <v>HDC</v>
          </cell>
        </row>
        <row r="68">
          <cell r="B68" t="str">
            <v>Permanent Lender</v>
          </cell>
          <cell r="C68" t="str">
            <v>HDC</v>
          </cell>
        </row>
        <row r="69">
          <cell r="B69" t="str">
            <v>Tax Credit Syndicator</v>
          </cell>
          <cell r="C69" t="str">
            <v xml:space="preserve"> </v>
          </cell>
        </row>
        <row r="70">
          <cell r="B70" t="str">
            <v>Tax Credit Raise</v>
          </cell>
          <cell r="C70" t="e">
            <v>#REF!</v>
          </cell>
        </row>
        <row r="71">
          <cell r="B71" t="str">
            <v>Debt Coverage: First Mortgage</v>
          </cell>
          <cell r="C71">
            <v>1.2833023603196596</v>
          </cell>
          <cell r="D71" t="str">
            <v>X</v>
          </cell>
        </row>
        <row r="72">
          <cell r="B72" t="str">
            <v>Debt Coverage: All Mortgages</v>
          </cell>
          <cell r="C72">
            <v>1.1499999999999999</v>
          </cell>
          <cell r="D72" t="str">
            <v>X</v>
          </cell>
        </row>
        <row r="73">
          <cell r="B73" t="str">
            <v>Income to Expense Ratio</v>
          </cell>
          <cell r="C73">
            <v>1.1064114667335889</v>
          </cell>
          <cell r="D73" t="str">
            <v>X</v>
          </cell>
        </row>
        <row r="74">
          <cell r="B74" t="str">
            <v>Mortgage Insurer</v>
          </cell>
          <cell r="C74" t="str">
            <v>SONYMA</v>
          </cell>
        </row>
        <row r="75">
          <cell r="B75" t="str">
            <v>Permanent Loan Servicer</v>
          </cell>
          <cell r="C75" t="str">
            <v>HDC</v>
          </cell>
        </row>
        <row r="82">
          <cell r="B82" t="str">
            <v>Development Costs</v>
          </cell>
          <cell r="C82" t="str">
            <v>Total</v>
          </cell>
          <cell r="D82" t="str">
            <v>Per DU</v>
          </cell>
          <cell r="E82" t="str">
            <v>Per GSF (Residential)</v>
          </cell>
          <cell r="F82" t="str">
            <v>Per GSF (Project)</v>
          </cell>
        </row>
        <row r="83">
          <cell r="B83" t="str">
            <v>Acquisition</v>
          </cell>
          <cell r="C83">
            <v>1600000</v>
          </cell>
          <cell r="D83">
            <v>33333.333333333336</v>
          </cell>
          <cell r="E83">
            <v>39.781203381402285</v>
          </cell>
          <cell r="F83">
            <v>32.613126783530369</v>
          </cell>
        </row>
        <row r="84">
          <cell r="B84" t="str">
            <v>Demolition</v>
          </cell>
          <cell r="C84">
            <v>0</v>
          </cell>
          <cell r="D84">
            <v>0</v>
          </cell>
          <cell r="E84">
            <v>0</v>
          </cell>
          <cell r="F84">
            <v>0</v>
          </cell>
        </row>
        <row r="85">
          <cell r="B85" t="str">
            <v>Total Acquisition / Demolition</v>
          </cell>
          <cell r="C85">
            <v>1600000</v>
          </cell>
          <cell r="D85">
            <v>33333.333333333336</v>
          </cell>
          <cell r="E85">
            <v>39.781203381402285</v>
          </cell>
          <cell r="F85">
            <v>32.613126783530369</v>
          </cell>
        </row>
        <row r="87">
          <cell r="B87" t="str">
            <v>Residential Portion</v>
          </cell>
          <cell r="C87">
            <v>10600000</v>
          </cell>
          <cell r="D87">
            <v>220833.33333333334</v>
          </cell>
          <cell r="E87">
            <v>263.55047240179016</v>
          </cell>
          <cell r="F87">
            <v>216.06196494088871</v>
          </cell>
        </row>
        <row r="88">
          <cell r="B88" t="str">
            <v xml:space="preserve">Commercial </v>
          </cell>
          <cell r="C88">
            <v>216.0618896484375</v>
          </cell>
          <cell r="D88">
            <v>216.0618896484375</v>
          </cell>
          <cell r="E88">
            <v>216.0618896484375</v>
          </cell>
          <cell r="F88">
            <v>216.0618896484375</v>
          </cell>
        </row>
        <row r="89">
          <cell r="B89" t="str">
            <v>Community</v>
          </cell>
          <cell r="C89">
            <v>216.0618896484375</v>
          </cell>
          <cell r="D89">
            <v>216.0618896484375</v>
          </cell>
          <cell r="E89">
            <v>216.0618896484375</v>
          </cell>
          <cell r="F89">
            <v>216.0618896484375</v>
          </cell>
        </row>
        <row r="90">
          <cell r="B90" t="str">
            <v>Parking</v>
          </cell>
          <cell r="C90">
            <v>216.0618896484375</v>
          </cell>
          <cell r="D90">
            <v>216.0618896484375</v>
          </cell>
          <cell r="E90">
            <v>216.0618896484375</v>
          </cell>
          <cell r="F90">
            <v>216.0618896484375</v>
          </cell>
        </row>
        <row r="91">
          <cell r="B91" t="str">
            <v xml:space="preserve">  Total Project</v>
          </cell>
          <cell r="C91">
            <v>10600000</v>
          </cell>
          <cell r="D91">
            <v>220833.33333333334</v>
          </cell>
          <cell r="E91">
            <v>263.55047240179016</v>
          </cell>
          <cell r="F91">
            <v>216.06196494088871</v>
          </cell>
        </row>
        <row r="92">
          <cell r="B92" t="str">
            <v>Contingency  ~5%</v>
          </cell>
          <cell r="C92">
            <v>530000</v>
          </cell>
          <cell r="D92">
            <v>11041.666666666666</v>
          </cell>
          <cell r="E92">
            <v>13.177523620089508</v>
          </cell>
          <cell r="F92">
            <v>10.803098247044435</v>
          </cell>
        </row>
        <row r="93">
          <cell r="B93" t="str">
            <v>Other</v>
          </cell>
          <cell r="C93">
            <v>0</v>
          </cell>
          <cell r="D93">
            <v>0</v>
          </cell>
          <cell r="E93">
            <v>0</v>
          </cell>
          <cell r="F93">
            <v>0</v>
          </cell>
        </row>
        <row r="94">
          <cell r="B94" t="str">
            <v>Total Hard Costs</v>
          </cell>
          <cell r="C94">
            <v>11130000</v>
          </cell>
          <cell r="D94">
            <v>231875</v>
          </cell>
          <cell r="E94">
            <v>276.72799602187968</v>
          </cell>
          <cell r="F94">
            <v>226.86506318793315</v>
          </cell>
        </row>
        <row r="96">
          <cell r="B96" t="str">
            <v>Total Soft Costs</v>
          </cell>
          <cell r="C96">
            <v>2333748.2127187257</v>
          </cell>
          <cell r="D96">
            <v>48619.754431640118</v>
          </cell>
          <cell r="E96">
            <v>58.02457018196732</v>
          </cell>
          <cell r="F96">
            <v>47.569266463895751</v>
          </cell>
        </row>
        <row r="98">
          <cell r="B98" t="str">
            <v>Dev. Fee – Up Front</v>
          </cell>
          <cell r="C98">
            <v>0</v>
          </cell>
          <cell r="D98">
            <v>0</v>
          </cell>
          <cell r="E98">
            <v>0</v>
          </cell>
          <cell r="F98">
            <v>0</v>
          </cell>
        </row>
        <row r="99">
          <cell r="B99" t="str">
            <v>Dev. Fee - Deferred</v>
          </cell>
          <cell r="C99">
            <v>0</v>
          </cell>
          <cell r="D99">
            <v>0</v>
          </cell>
          <cell r="E99">
            <v>0</v>
          </cell>
          <cell r="F99">
            <v>0</v>
          </cell>
        </row>
        <row r="100">
          <cell r="B100" t="str">
            <v>Total Developer Fee</v>
          </cell>
          <cell r="C100">
            <v>0</v>
          </cell>
          <cell r="D100">
            <v>0</v>
          </cell>
          <cell r="E100">
            <v>0</v>
          </cell>
          <cell r="F100">
            <v>0</v>
          </cell>
        </row>
        <row r="102">
          <cell r="B102" t="str">
            <v>TOTAL COSTS</v>
          </cell>
          <cell r="C102">
            <v>15063748.212718725</v>
          </cell>
          <cell r="D102">
            <v>313828.08776497346</v>
          </cell>
          <cell r="E102">
            <v>374.53376958524927</v>
          </cell>
          <cell r="F102">
            <v>307.04745643535927</v>
          </cell>
        </row>
        <row r="108">
          <cell r="B108" t="str">
            <v>Construction Period Sources of Funds</v>
          </cell>
          <cell r="C108" t="str">
            <v>Total</v>
          </cell>
          <cell r="D108" t="str">
            <v>Per DU</v>
          </cell>
          <cell r="E108" t="str">
            <v>% of TDC</v>
          </cell>
        </row>
        <row r="109">
          <cell r="B109" t="str">
            <v>HDC First</v>
          </cell>
          <cell r="C109">
            <v>6665000</v>
          </cell>
          <cell r="D109">
            <v>138854.16666666666</v>
          </cell>
          <cell r="E109">
            <v>0.44245296096841041</v>
          </cell>
        </row>
        <row r="110">
          <cell r="B110" t="str">
            <v>HDC Second</v>
          </cell>
          <cell r="C110">
            <v>3600000</v>
          </cell>
          <cell r="D110">
            <v>75000</v>
          </cell>
          <cell r="E110">
            <v>0.23898434500919391</v>
          </cell>
        </row>
        <row r="111">
          <cell r="B111" t="str">
            <v>HPD Capital</v>
          </cell>
          <cell r="C111">
            <v>1278059.2127187252</v>
          </cell>
          <cell r="D111">
            <v>26626.233598306775</v>
          </cell>
          <cell r="E111">
            <v>8.4843373287375165E-2</v>
          </cell>
        </row>
        <row r="112">
          <cell r="B112" t="str">
            <v>HPD HOME</v>
          </cell>
          <cell r="C112">
            <v>1620689</v>
          </cell>
          <cell r="D112">
            <v>33764.354166666664</v>
          </cell>
          <cell r="E112">
            <v>0.10758869420239041</v>
          </cell>
        </row>
        <row r="113">
          <cell r="B113" t="str">
            <v>Other (specify)</v>
          </cell>
          <cell r="C113">
            <v>0.10758864879608154</v>
          </cell>
          <cell r="D113">
            <v>0.10758864879608154</v>
          </cell>
          <cell r="E113">
            <v>0.10758864879608154</v>
          </cell>
        </row>
        <row r="114">
          <cell r="B114" t="str">
            <v>Total Mortgages</v>
          </cell>
          <cell r="C114">
            <v>13163748.212718725</v>
          </cell>
          <cell r="D114">
            <v>274244.75443164009</v>
          </cell>
          <cell r="E114">
            <v>0.87386937346736993</v>
          </cell>
        </row>
        <row r="116">
          <cell r="B116" t="str">
            <v>Tax Credit Equity</v>
          </cell>
          <cell r="C116">
            <v>0</v>
          </cell>
          <cell r="D116">
            <v>0</v>
          </cell>
          <cell r="E116">
            <v>0</v>
          </cell>
        </row>
        <row r="117">
          <cell r="B117" t="str">
            <v>Developer Equity</v>
          </cell>
          <cell r="C117">
            <v>1900000</v>
          </cell>
          <cell r="D117">
            <v>39583.333333333336</v>
          </cell>
          <cell r="E117">
            <v>0.12613062653263013</v>
          </cell>
        </row>
        <row r="118">
          <cell r="B118" t="str">
            <v>Deferred Developer Fee</v>
          </cell>
          <cell r="C118">
            <v>0</v>
          </cell>
          <cell r="D118">
            <v>0</v>
          </cell>
          <cell r="E118">
            <v>0</v>
          </cell>
        </row>
        <row r="119">
          <cell r="B119" t="str">
            <v>Reso A Funds</v>
          </cell>
          <cell r="C119">
            <v>0</v>
          </cell>
          <cell r="D119">
            <v>0</v>
          </cell>
          <cell r="E119">
            <v>0</v>
          </cell>
        </row>
        <row r="120">
          <cell r="B120" t="str">
            <v>Other (specify)</v>
          </cell>
          <cell r="C120">
            <v>0</v>
          </cell>
          <cell r="D120">
            <v>0</v>
          </cell>
          <cell r="E120">
            <v>0</v>
          </cell>
        </row>
        <row r="121">
          <cell r="B121" t="str">
            <v>Total Equity</v>
          </cell>
          <cell r="C121">
            <v>1900000</v>
          </cell>
          <cell r="D121">
            <v>39583.333333333336</v>
          </cell>
          <cell r="E121">
            <v>0.12613062653263013</v>
          </cell>
        </row>
        <row r="122">
          <cell r="B122" t="str">
            <v>TOTAL CONSTRUCTION SOURCES</v>
          </cell>
          <cell r="C122">
            <v>15063748.212718725</v>
          </cell>
          <cell r="D122">
            <v>313828.08776497346</v>
          </cell>
          <cell r="E122">
            <v>1</v>
          </cell>
        </row>
        <row r="130">
          <cell r="B130" t="str">
            <v>Permanent Sources of Funds</v>
          </cell>
          <cell r="C130" t="str">
            <v>Total</v>
          </cell>
          <cell r="D130" t="str">
            <v>Per DU</v>
          </cell>
          <cell r="E130" t="str">
            <v>% of TDC</v>
          </cell>
          <cell r="F130" t="str">
            <v>Rate</v>
          </cell>
          <cell r="G130" t="str">
            <v>Term</v>
          </cell>
        </row>
        <row r="131">
          <cell r="B131" t="str">
            <v>HDC First</v>
          </cell>
          <cell r="C131">
            <v>6665000</v>
          </cell>
          <cell r="D131">
            <v>138854.16666666666</v>
          </cell>
          <cell r="E131">
            <v>0.44245296096841041</v>
          </cell>
          <cell r="F131">
            <v>6.7500000000000004E-2</v>
          </cell>
          <cell r="G131">
            <v>30</v>
          </cell>
        </row>
        <row r="132">
          <cell r="B132" t="str">
            <v>HDC Second</v>
          </cell>
          <cell r="C132">
            <v>3600000</v>
          </cell>
          <cell r="D132">
            <v>75000</v>
          </cell>
          <cell r="E132">
            <v>0.23898434500919391</v>
          </cell>
          <cell r="F132">
            <v>0.01</v>
          </cell>
          <cell r="G132">
            <v>30</v>
          </cell>
        </row>
        <row r="133">
          <cell r="B133" t="str">
            <v>HPD City Capital</v>
          </cell>
          <cell r="C133">
            <v>1278059.2127187252</v>
          </cell>
          <cell r="D133">
            <v>26626.233598306775</v>
          </cell>
          <cell r="E133">
            <v>8.4843373287375165E-2</v>
          </cell>
          <cell r="F133">
            <v>0.01</v>
          </cell>
          <cell r="G133">
            <v>30</v>
          </cell>
        </row>
        <row r="134">
          <cell r="B134" t="str">
            <v>HPD HOME</v>
          </cell>
          <cell r="C134">
            <v>1620689</v>
          </cell>
          <cell r="D134">
            <v>33764.354166666664</v>
          </cell>
          <cell r="E134">
            <v>0.10758869420239041</v>
          </cell>
          <cell r="F134">
            <v>0</v>
          </cell>
          <cell r="G134">
            <v>20</v>
          </cell>
        </row>
        <row r="135">
          <cell r="B135" t="str">
            <v>Other (specify)</v>
          </cell>
          <cell r="C135">
            <v>20</v>
          </cell>
          <cell r="D135">
            <v>20</v>
          </cell>
          <cell r="E135">
            <v>20</v>
          </cell>
        </row>
        <row r="136">
          <cell r="B136" t="str">
            <v>Total Mortgages</v>
          </cell>
          <cell r="C136">
            <v>13163748.212718725</v>
          </cell>
          <cell r="D136">
            <v>274244.75443164009</v>
          </cell>
          <cell r="E136">
            <v>0.87386937346736993</v>
          </cell>
        </row>
        <row r="138">
          <cell r="B138" t="str">
            <v>Tax Credit Equity</v>
          </cell>
          <cell r="C138">
            <v>0</v>
          </cell>
          <cell r="D138">
            <v>0</v>
          </cell>
          <cell r="E138">
            <v>0</v>
          </cell>
        </row>
        <row r="139">
          <cell r="B139" t="str">
            <v>Developer Equity</v>
          </cell>
          <cell r="C139">
            <v>1900000</v>
          </cell>
          <cell r="D139">
            <v>39583.333333333336</v>
          </cell>
          <cell r="E139">
            <v>0.12613062653263013</v>
          </cell>
        </row>
        <row r="140">
          <cell r="B140" t="str">
            <v>Deferred Developer Fee</v>
          </cell>
          <cell r="C140">
            <v>0</v>
          </cell>
          <cell r="D140">
            <v>0</v>
          </cell>
          <cell r="E140">
            <v>0</v>
          </cell>
        </row>
        <row r="141">
          <cell r="B141" t="str">
            <v>Reso A Funds</v>
          </cell>
          <cell r="C141">
            <v>0</v>
          </cell>
          <cell r="D141">
            <v>0</v>
          </cell>
          <cell r="E141">
            <v>0</v>
          </cell>
        </row>
        <row r="142">
          <cell r="B142" t="str">
            <v>Other (specify)</v>
          </cell>
          <cell r="C142">
            <v>0</v>
          </cell>
          <cell r="D142">
            <v>0</v>
          </cell>
          <cell r="E142">
            <v>0</v>
          </cell>
        </row>
        <row r="143">
          <cell r="B143" t="str">
            <v>Total Equity</v>
          </cell>
          <cell r="C143">
            <v>1900000</v>
          </cell>
          <cell r="D143">
            <v>39583.333333333336</v>
          </cell>
          <cell r="E143">
            <v>0.12613062653263013</v>
          </cell>
        </row>
        <row r="144">
          <cell r="B144" t="str">
            <v>TOTAL PERMANENT SOURCES</v>
          </cell>
          <cell r="C144">
            <v>15063748.212718725</v>
          </cell>
          <cell r="D144">
            <v>313828.08776497346</v>
          </cell>
          <cell r="E144">
            <v>1</v>
          </cell>
        </row>
        <row r="146">
          <cell r="B146" t="str">
            <v>Balloon on HDC Second Mortgage</v>
          </cell>
          <cell r="C146">
            <v>3600000.0000000005</v>
          </cell>
          <cell r="D146">
            <v>0</v>
          </cell>
        </row>
        <row r="148">
          <cell r="B148" t="str">
            <v>Balloon on HPD Second Mortgage</v>
          </cell>
          <cell r="C148">
            <v>885727.53749297361</v>
          </cell>
          <cell r="D148">
            <v>0</v>
          </cell>
        </row>
        <row r="150">
          <cell r="B150" t="str">
            <v>Balloon on HOME Loan</v>
          </cell>
          <cell r="C150">
            <v>0</v>
          </cell>
          <cell r="D150">
            <v>0</v>
          </cell>
        </row>
        <row r="152">
          <cell r="B152" t="str">
            <v xml:space="preserve"> Amount of HOME Funds per HOME DU  </v>
          </cell>
          <cell r="C152">
            <v>147335.36363636365</v>
          </cell>
          <cell r="D152">
            <v>147335.36363636365</v>
          </cell>
        </row>
        <row r="156">
          <cell r="H156" t="str">
            <v>Unit Distribution by Rent Level</v>
          </cell>
        </row>
        <row r="157">
          <cell r="H157" t="str">
            <v>Size of Unit</v>
          </cell>
          <cell r="I157" t="str">
            <v>Total # of Units</v>
          </cell>
          <cell r="J157" t="str">
            <v>Market Rate</v>
          </cell>
          <cell r="K157" t="str">
            <v>High HOME (58% AMI)</v>
          </cell>
          <cell r="L157" t="str">
            <v>Low HOME (48% AMI)</v>
          </cell>
          <cell r="M157" t="str">
            <v>Tax Credit (60%)</v>
          </cell>
          <cell r="N157" t="str">
            <v>Tax Credit (50%)</v>
          </cell>
        </row>
        <row r="158">
          <cell r="H158" t="str">
            <v>Studio</v>
          </cell>
          <cell r="I158">
            <v>25</v>
          </cell>
          <cell r="J158">
            <v>21</v>
          </cell>
          <cell r="K158">
            <v>3</v>
          </cell>
          <cell r="L158">
            <v>1</v>
          </cell>
          <cell r="M158">
            <v>0</v>
          </cell>
          <cell r="N158">
            <v>0</v>
          </cell>
        </row>
        <row r="159">
          <cell r="H159" t="str">
            <v>1-Bdrm</v>
          </cell>
          <cell r="I159">
            <v>5</v>
          </cell>
          <cell r="J159">
            <v>2</v>
          </cell>
          <cell r="K159">
            <v>2</v>
          </cell>
          <cell r="L159">
            <v>1</v>
          </cell>
          <cell r="M159">
            <v>0</v>
          </cell>
          <cell r="N159">
            <v>0</v>
          </cell>
        </row>
        <row r="160">
          <cell r="H160" t="str">
            <v>2-Bdrm</v>
          </cell>
          <cell r="I160">
            <v>18</v>
          </cell>
          <cell r="J160">
            <v>14</v>
          </cell>
          <cell r="K160">
            <v>3</v>
          </cell>
          <cell r="L160">
            <v>1</v>
          </cell>
          <cell r="M160">
            <v>0</v>
          </cell>
          <cell r="N160">
            <v>0</v>
          </cell>
        </row>
        <row r="161">
          <cell r="H161" t="str">
            <v>3-Bdrm</v>
          </cell>
          <cell r="I161">
            <v>0</v>
          </cell>
          <cell r="J161">
            <v>0</v>
          </cell>
          <cell r="K161">
            <v>0</v>
          </cell>
          <cell r="L161">
            <v>0</v>
          </cell>
          <cell r="M161">
            <v>0</v>
          </cell>
          <cell r="N161">
            <v>0</v>
          </cell>
        </row>
        <row r="162">
          <cell r="H162" t="str">
            <v>4-Bdrm</v>
          </cell>
          <cell r="I162">
            <v>0</v>
          </cell>
        </row>
        <row r="163">
          <cell r="H163" t="str">
            <v>Total</v>
          </cell>
          <cell r="I163">
            <v>48</v>
          </cell>
          <cell r="J163">
            <v>37</v>
          </cell>
          <cell r="K163">
            <v>8</v>
          </cell>
          <cell r="L163">
            <v>3</v>
          </cell>
          <cell r="M163">
            <v>0</v>
          </cell>
          <cell r="N163">
            <v>0</v>
          </cell>
        </row>
        <row r="169">
          <cell r="H169" t="str">
            <v>Unit Distribution by Monthly Rent</v>
          </cell>
        </row>
        <row r="170">
          <cell r="H170" t="str">
            <v>Size of Unit</v>
          </cell>
          <cell r="I170" t="str">
            <v>Total # of Units</v>
          </cell>
          <cell r="J170" t="str">
            <v>Market Rate</v>
          </cell>
          <cell r="K170" t="str">
            <v>High HOME (58% AMI)</v>
          </cell>
          <cell r="L170" t="str">
            <v>Low HOME (48% AMI)</v>
          </cell>
          <cell r="M170" t="str">
            <v>Tax Credit</v>
          </cell>
          <cell r="N170" t="str">
            <v>Other</v>
          </cell>
          <cell r="O170" t="str">
            <v>Average Rent by Unit Size</v>
          </cell>
        </row>
        <row r="171">
          <cell r="H171" t="str">
            <v>Studio</v>
          </cell>
          <cell r="I171">
            <v>25</v>
          </cell>
          <cell r="J171">
            <v>1019</v>
          </cell>
          <cell r="K171">
            <v>742</v>
          </cell>
          <cell r="L171">
            <v>576</v>
          </cell>
          <cell r="M171">
            <v>0</v>
          </cell>
          <cell r="N171">
            <v>0</v>
          </cell>
          <cell r="O171">
            <v>968.04</v>
          </cell>
        </row>
        <row r="172">
          <cell r="H172" t="str">
            <v>1-Bdrm</v>
          </cell>
          <cell r="I172">
            <v>5</v>
          </cell>
          <cell r="J172">
            <v>1475</v>
          </cell>
          <cell r="K172">
            <v>796</v>
          </cell>
          <cell r="L172">
            <v>616</v>
          </cell>
          <cell r="M172">
            <v>1031.5999999999999</v>
          </cell>
          <cell r="N172">
            <v>0</v>
          </cell>
          <cell r="O172">
            <v>1031.5999999999999</v>
          </cell>
        </row>
        <row r="173">
          <cell r="H173" t="str">
            <v>2-Bdrm</v>
          </cell>
          <cell r="I173">
            <v>18</v>
          </cell>
          <cell r="J173">
            <v>1775</v>
          </cell>
          <cell r="K173">
            <v>962</v>
          </cell>
          <cell r="L173">
            <v>743</v>
          </cell>
          <cell r="M173">
            <v>1582.1666666666667</v>
          </cell>
          <cell r="N173">
            <v>0</v>
          </cell>
          <cell r="O173">
            <v>1582.1666666666667</v>
          </cell>
        </row>
        <row r="174">
          <cell r="H174" t="str">
            <v>3-Bdrm</v>
          </cell>
          <cell r="I174">
            <v>0</v>
          </cell>
          <cell r="J174">
            <v>0</v>
          </cell>
          <cell r="K174">
            <v>0</v>
          </cell>
          <cell r="L174">
            <v>0</v>
          </cell>
          <cell r="M174">
            <v>0</v>
          </cell>
          <cell r="N174">
            <v>0</v>
          </cell>
          <cell r="O174">
            <v>0</v>
          </cell>
        </row>
        <row r="175">
          <cell r="H175" t="str">
            <v>4-Bdrm</v>
          </cell>
          <cell r="I175">
            <v>0</v>
          </cell>
        </row>
        <row r="176">
          <cell r="H176" t="str">
            <v>Total</v>
          </cell>
          <cell r="I176">
            <v>48</v>
          </cell>
          <cell r="J176">
            <v>1204.9583333333333</v>
          </cell>
          <cell r="K176">
            <v>0</v>
          </cell>
          <cell r="L176">
            <v>0</v>
          </cell>
          <cell r="M176">
            <v>0</v>
          </cell>
          <cell r="N176">
            <v>0</v>
          </cell>
          <cell r="O176">
            <v>1204.9583333333333</v>
          </cell>
        </row>
        <row r="181">
          <cell r="H181" t="str">
            <v>Average Size of Units</v>
          </cell>
          <cell r="I181" t="str">
            <v>Studio</v>
          </cell>
          <cell r="J181" t="str">
            <v>1 BR</v>
          </cell>
          <cell r="K181" t="str">
            <v>2 BR</v>
          </cell>
          <cell r="L181" t="str">
            <v>3 BR</v>
          </cell>
          <cell r="M181" t="str">
            <v>4 BR</v>
          </cell>
          <cell r="N181" t="str">
            <v>Average all Units</v>
          </cell>
        </row>
        <row r="182">
          <cell r="H182" t="str">
            <v>(Net Sq Ft)</v>
          </cell>
          <cell r="I182">
            <v>479</v>
          </cell>
          <cell r="J182">
            <v>728</v>
          </cell>
          <cell r="K182">
            <v>902</v>
          </cell>
          <cell r="L182">
            <v>0</v>
          </cell>
          <cell r="M182">
            <v>0</v>
          </cell>
          <cell r="N182">
            <v>663.5625</v>
          </cell>
        </row>
        <row r="188">
          <cell r="H188" t="str">
            <v>Residential Data</v>
          </cell>
        </row>
        <row r="190">
          <cell r="H190" t="str">
            <v>Annual</v>
          </cell>
          <cell r="I190" t="str">
            <v xml:space="preserve"> Rent</v>
          </cell>
          <cell r="J190" t="str">
            <v>Expenses</v>
          </cell>
        </row>
        <row r="191">
          <cell r="H191" t="str">
            <v>Per DU</v>
          </cell>
          <cell r="I191">
            <v>14459.5</v>
          </cell>
          <cell r="J191">
            <v>4749.416666666667</v>
          </cell>
        </row>
        <row r="192">
          <cell r="H192" t="str">
            <v>Per Room</v>
          </cell>
          <cell r="I192">
            <v>5066.1021897810215</v>
          </cell>
          <cell r="J192">
            <v>1664.0291970802921</v>
          </cell>
        </row>
        <row r="193">
          <cell r="H193" t="str">
            <v>Per NSF</v>
          </cell>
          <cell r="I193">
            <v>21.790713007440896</v>
          </cell>
          <cell r="J193">
            <v>7.1574518853411195</v>
          </cell>
        </row>
        <row r="195">
          <cell r="H195" t="str">
            <v>Monthly</v>
          </cell>
          <cell r="I195" t="str">
            <v xml:space="preserve"> Rent</v>
          </cell>
          <cell r="J195" t="str">
            <v>Expenses</v>
          </cell>
        </row>
        <row r="196">
          <cell r="H196" t="str">
            <v>Per DU</v>
          </cell>
          <cell r="I196">
            <v>1204.9583333333333</v>
          </cell>
          <cell r="J196">
            <v>395.78472222222223</v>
          </cell>
        </row>
        <row r="197">
          <cell r="H197" t="str">
            <v>Per Room</v>
          </cell>
          <cell r="I197">
            <v>422.17518248175179</v>
          </cell>
          <cell r="J197">
            <v>138.669099756691</v>
          </cell>
        </row>
        <row r="201">
          <cell r="H201" t="str">
            <v>Non-Residential Revenues</v>
          </cell>
        </row>
        <row r="202">
          <cell r="H202" t="str">
            <v>Commercial Space</v>
          </cell>
          <cell r="I202">
            <v>30</v>
          </cell>
          <cell r="J202">
            <v>30</v>
          </cell>
          <cell r="K202" t="str">
            <v>Annual Rent/s.f.</v>
          </cell>
        </row>
        <row r="203">
          <cell r="H203" t="str">
            <v>Community Space</v>
          </cell>
          <cell r="I203">
            <v>0</v>
          </cell>
          <cell r="J203">
            <v>0</v>
          </cell>
          <cell r="K203" t="str">
            <v>Annual Rent/s.f.</v>
          </cell>
        </row>
        <row r="204">
          <cell r="H204" t="str">
            <v>Parking</v>
          </cell>
          <cell r="I204">
            <v>0</v>
          </cell>
          <cell r="J204">
            <v>0</v>
          </cell>
          <cell r="K204" t="str">
            <v>Per space/month</v>
          </cell>
        </row>
        <row r="205">
          <cell r="H205" t="str">
            <v>Laundry</v>
          </cell>
          <cell r="I205">
            <v>100</v>
          </cell>
          <cell r="J205">
            <v>100</v>
          </cell>
          <cell r="K205" t="str">
            <v>Annual per unit</v>
          </cell>
        </row>
        <row r="225">
          <cell r="B225" t="str">
            <v>Operating Budget</v>
          </cell>
          <cell r="C225" t="str">
            <v>Annual Amount</v>
          </cell>
          <cell r="D225" t="str">
            <v>Comments</v>
          </cell>
        </row>
        <row r="226">
          <cell r="B226" t="str">
            <v xml:space="preserve">  Residential Rent</v>
          </cell>
          <cell r="C226">
            <v>694056</v>
          </cell>
        </row>
        <row r="227">
          <cell r="B227" t="str">
            <v xml:space="preserve">  Vacancy and Collection Loss</v>
          </cell>
          <cell r="C227">
            <v>-34702.800000000003</v>
          </cell>
          <cell r="D227">
            <v>0.05</v>
          </cell>
        </row>
        <row r="228">
          <cell r="B228" t="str">
            <v xml:space="preserve">  Commercial Rent</v>
          </cell>
          <cell r="C228">
            <v>265200</v>
          </cell>
          <cell r="D228">
            <v>265200</v>
          </cell>
        </row>
        <row r="229">
          <cell r="B229" t="str">
            <v xml:space="preserve">  Vacancy and Collection Loss</v>
          </cell>
          <cell r="C229">
            <v>-26520</v>
          </cell>
          <cell r="D229">
            <v>0.1</v>
          </cell>
        </row>
        <row r="230">
          <cell r="B230" t="str">
            <v xml:space="preserve">  Community Space</v>
          </cell>
          <cell r="C230">
            <v>0</v>
          </cell>
        </row>
        <row r="231">
          <cell r="B231" t="str">
            <v xml:space="preserve">  Vacancy and Collection Loss</v>
          </cell>
          <cell r="C231">
            <v>0</v>
          </cell>
          <cell r="D231">
            <v>0.1</v>
          </cell>
        </row>
        <row r="232">
          <cell r="B232" t="str">
            <v xml:space="preserve">  Parking</v>
          </cell>
          <cell r="C232">
            <v>0</v>
          </cell>
        </row>
        <row r="233">
          <cell r="B233" t="str">
            <v xml:space="preserve">  Vacancy and Collection Loss</v>
          </cell>
          <cell r="C233">
            <v>0</v>
          </cell>
          <cell r="D233">
            <v>0.1</v>
          </cell>
        </row>
        <row r="234">
          <cell r="B234" t="str">
            <v xml:space="preserve">  Other Income</v>
          </cell>
          <cell r="C234">
            <v>4800</v>
          </cell>
          <cell r="D234" t="str">
            <v xml:space="preserve">Ancillary/Laundry </v>
          </cell>
        </row>
        <row r="235">
          <cell r="B235" t="str">
            <v xml:space="preserve">  Effective Project Income</v>
          </cell>
          <cell r="C235">
            <v>902833.2</v>
          </cell>
        </row>
        <row r="236">
          <cell r="B236" t="str">
            <v xml:space="preserve">  Operating Expenses</v>
          </cell>
          <cell r="C236">
            <v>227972</v>
          </cell>
        </row>
        <row r="237">
          <cell r="B237" t="str">
            <v xml:space="preserve">  Real Estate Taxes</v>
          </cell>
          <cell r="C237">
            <v>9150</v>
          </cell>
          <cell r="D237" t="str">
            <v>421 a</v>
          </cell>
        </row>
        <row r="238">
          <cell r="B238" t="str">
            <v xml:space="preserve">  Net Operating Income</v>
          </cell>
          <cell r="C238">
            <v>665711.19999999995</v>
          </cell>
        </row>
        <row r="239">
          <cell r="B239" t="str">
            <v xml:space="preserve">  First Mortgage Debt Service</v>
          </cell>
          <cell r="C239">
            <v>518748.51990000001</v>
          </cell>
          <cell r="D239" t="str">
            <v xml:space="preserve"> </v>
          </cell>
        </row>
        <row r="240">
          <cell r="B240" t="str">
            <v xml:space="preserve">  Second Mortgage Debt Service</v>
          </cell>
          <cell r="C240">
            <v>60130.784447826038</v>
          </cell>
          <cell r="D240" t="str">
            <v xml:space="preserve"> </v>
          </cell>
        </row>
        <row r="241">
          <cell r="B241" t="str">
            <v xml:space="preserve">  Net Cash to Owner</v>
          </cell>
          <cell r="C241">
            <v>86831.895652173902</v>
          </cell>
        </row>
        <row r="242">
          <cell r="B242" t="str">
            <v xml:space="preserve">  Return on Equity (1st year)</v>
          </cell>
          <cell r="C242">
            <v>4.5700997711670473E-2</v>
          </cell>
        </row>
        <row r="243">
          <cell r="B243" t="str">
            <v xml:space="preserve">  Return on TDC (1st year)</v>
          </cell>
          <cell r="C243">
            <v>4.4192931971467911E-2</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Sources and Use"/>
      <sheetName val="Unit Distrib."/>
      <sheetName val="exp comp"/>
      <sheetName val="M and O"/>
      <sheetName val="Calc"/>
      <sheetName val="Devel. Bud (2)"/>
      <sheetName val="Mort (2)"/>
      <sheetName val="expenses (2)"/>
      <sheetName val="I_E"/>
      <sheetName val="expenses (1)"/>
      <sheetName val="Mort (1)"/>
      <sheetName val="Devel. Bud (1)"/>
      <sheetName val="service"/>
      <sheetName val="Sources_and_Use"/>
      <sheetName val="Unit_Distrib_"/>
      <sheetName val="exp_comp"/>
      <sheetName val="M_and_O"/>
      <sheetName val="Devel__Bud_(2)"/>
      <sheetName val="Mort_(2)"/>
      <sheetName val="expenses_(2)"/>
      <sheetName val="expenses_(1)"/>
      <sheetName val="Mort_(1)"/>
      <sheetName val="Devel__Bud_(1)"/>
      <sheetName val="Sources_&amp;_Uses"/>
      <sheetName val="Income"/>
      <sheetName val="Amortization_Table"/>
      <sheetName val="FORM-10_(A-F)"/>
      <sheetName val="M_and_O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Distrib."/>
      <sheetName val="Sources and Use"/>
      <sheetName val="M and O"/>
      <sheetName val="Mort"/>
      <sheetName val="Devel. Bud"/>
      <sheetName val="Int Calc (LT1st)"/>
      <sheetName val="Tax Credits"/>
      <sheetName val="Unit_Distrib_"/>
      <sheetName val="Sources_and_Use"/>
      <sheetName val="M_and_O"/>
      <sheetName val="Devel__Bud"/>
      <sheetName val="Int_Calc_(LT1st)"/>
      <sheetName val="Tax_Credits"/>
      <sheetName val="Devel_ Bud"/>
      <sheetName val="Units &amp; Income"/>
      <sheetName val="Sheet1"/>
      <sheetName val="Unit_Distrib_1"/>
      <sheetName val="Sources_and_Use1"/>
      <sheetName val="M_and_O1"/>
      <sheetName val="Devel__Bud1"/>
      <sheetName val="Int_Calc_(LT1st)1"/>
      <sheetName val="Tax_Credits1"/>
      <sheetName val="Devel__Bud2"/>
      <sheetName val="Units_&amp;_Income"/>
      <sheetName val="Unit_Distrib_2"/>
      <sheetName val="Sources_and_Use2"/>
      <sheetName val="M_and_O2"/>
      <sheetName val="Devel__Bud3"/>
      <sheetName val="Int_Calc_(LT1st)2"/>
      <sheetName val="Tax_Credits2"/>
      <sheetName val="Devel__Bud4"/>
      <sheetName val="Units_&amp;_Incom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ev Budg"/>
      <sheetName val="Int Calc "/>
      <sheetName val="Sources"/>
      <sheetName val="Unit Distrib."/>
      <sheetName val="M and O"/>
      <sheetName val="Mort"/>
      <sheetName val="Cash Flow"/>
      <sheetName val="Escrows"/>
      <sheetName val="Dev_Budg"/>
      <sheetName val="Int_Calc_"/>
      <sheetName val="Unit_Distrib_"/>
      <sheetName val="M_and_O"/>
      <sheetName val="Cash_Flow"/>
    </sheetNames>
    <sheetDataSet>
      <sheetData sheetId="0" refreshError="1"/>
      <sheetData sheetId="1" refreshError="1"/>
      <sheetData sheetId="2" refreshError="1"/>
      <sheetData sheetId="3" refreshError="1"/>
      <sheetData sheetId="4" refreshError="1"/>
      <sheetData sheetId="5" refreshError="1"/>
      <sheetData sheetId="6" refreshError="1">
        <row r="13">
          <cell r="D13">
            <v>533771.64</v>
          </cell>
        </row>
      </sheetData>
      <sheetData sheetId="7" refreshError="1"/>
      <sheetData sheetId="8" refreshError="1"/>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s"/>
      <sheetName val="Income"/>
      <sheetName val="Loan Info."/>
      <sheetName val="Loan_Info_"/>
      <sheetName val="Unit Distrib."/>
      <sheetName val="Mort"/>
      <sheetName val="Sources and Use"/>
      <sheetName val="Devel. Bud"/>
      <sheetName val="M and O"/>
      <sheetName val="Cash Flow"/>
      <sheetName val="Loan_Info_1"/>
      <sheetName val="Unit_Distrib_"/>
      <sheetName val="Sources_and_Use"/>
      <sheetName val="Devel__Bud"/>
      <sheetName val="M_and_O"/>
      <sheetName val="Cash_Flow"/>
      <sheetName val="Property Summary &amp; Inputs"/>
      <sheetName val="Sources &amp; Uses"/>
      <sheetName val="Dev. Budget"/>
      <sheetName val="Mort Schedule"/>
      <sheetName val="Rent Roll"/>
      <sheetName val="M&amp;O"/>
      <sheetName val="Cons. Interest"/>
      <sheetName val="Balloon Schedule"/>
      <sheetName val="Amort"/>
      <sheetName val="J-51 Tax Analysis"/>
      <sheetName val="Article XI Tax Analysis"/>
      <sheetName val="OMB Project Summary"/>
      <sheetName val="BCQ"/>
      <sheetName val="OMB Cash Flow"/>
      <sheetName val="OMB M&amp;O "/>
      <sheetName val="PSSA"/>
      <sheetName val="Development Budget"/>
      <sheetName val="Energy Scope"/>
      <sheetName val="120G P &amp; L Summary"/>
      <sheetName val="main"/>
      <sheetName val="Unit Mix"/>
      <sheetName val="Inputs"/>
      <sheetName val="S&amp;U"/>
      <sheetName val="Sheet1"/>
      <sheetName val="FT2-1"/>
      <sheetName val="Cred Memo"/>
      <sheetName val="Instructions"/>
      <sheetName val="Cons Int &amp; Neg Arb"/>
      <sheetName val="Units &amp; Income"/>
      <sheetName val="Rent Chart"/>
      <sheetName val="Tax Credit "/>
      <sheetName val="Trade Pmt"/>
      <sheetName val="Pro Forma Summary"/>
      <sheetName val="Fl Area Summary"/>
      <sheetName val="Reso A"/>
      <sheetName val="Project Summary"/>
      <sheetName val="Bricks and Mortar"/>
      <sheetName val="Pre-Dev"/>
    </sheetNames>
    <sheetDataSet>
      <sheetData sheetId="0">
        <row r="24">
          <cell r="D24">
            <v>27716.694769230769</v>
          </cell>
        </row>
      </sheetData>
      <sheetData sheetId="1" refreshError="1">
        <row r="24">
          <cell r="D24">
            <v>27716.694769230769</v>
          </cell>
        </row>
      </sheetData>
      <sheetData sheetId="2"/>
      <sheetData sheetId="3">
        <row r="24">
          <cell r="D24">
            <v>27716.694769230769</v>
          </cell>
        </row>
      </sheetData>
      <sheetData sheetId="4" refreshError="1"/>
      <sheetData sheetId="5" refreshError="1"/>
      <sheetData sheetId="6">
        <row r="24">
          <cell r="D24">
            <v>27716.694769230769</v>
          </cell>
        </row>
      </sheetData>
      <sheetData sheetId="7"/>
      <sheetData sheetId="8"/>
      <sheetData sheetId="9">
        <row r="24">
          <cell r="D24">
            <v>27716.694769230799</v>
          </cell>
        </row>
      </sheetData>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row r="24">
          <cell r="D24">
            <v>0</v>
          </cell>
        </row>
      </sheetData>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ow r="24">
          <cell r="D24"/>
        </row>
      </sheetData>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MI &amp; Rent"/>
      <sheetName val="Expanded UA Table"/>
      <sheetName val="AMI Table"/>
      <sheetName val="Sheet1"/>
    </sheetNames>
    <sheetDataSet>
      <sheetData sheetId="0"/>
      <sheetData sheetId="1" refreshError="1"/>
      <sheetData sheetId="2" refreshError="1"/>
      <sheetData sheetId="3">
        <row r="1">
          <cell r="A1" t="str">
            <v>New Construction/Special Needs</v>
          </cell>
        </row>
        <row r="2">
          <cell r="A2" t="str">
            <v>Preservation/Rehab</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I &amp; Rent"/>
      <sheetName val="AMI Table"/>
      <sheetName val="Sheet1"/>
    </sheetNames>
    <sheetDataSet>
      <sheetData sheetId="0"/>
      <sheetData sheetId="1"/>
      <sheetData sheetId="2">
        <row r="1">
          <cell r="A1" t="str">
            <v>New Construction/Special Needs</v>
          </cell>
        </row>
        <row r="2">
          <cell r="A2" t="str">
            <v>Preservation/Rehab</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Mem1"/>
      <sheetName val="CMem2"/>
      <sheetName val="Mort"/>
      <sheetName val="Rents"/>
      <sheetName val="I&amp;E"/>
      <sheetName val="I&amp;A"/>
      <sheetName val="IA2"/>
      <sheetName val="Calcs"/>
      <sheetName val="CFA"/>
      <sheetName val="Assumptions"/>
      <sheetName val="BUDGET"/>
      <sheetName val="Tenant Mix"/>
      <sheetName val="Cred Memo"/>
      <sheetName val="development budget"/>
      <sheetName val="financing assumptions"/>
      <sheetName val="revenue"/>
      <sheetName val="HUD NY Full"/>
      <sheetName val="NYS MTSP2011"/>
      <sheetName val="NYS MTSP2012"/>
      <sheetName val="NYS MTSP2013"/>
      <sheetName val="NYS MTSP2014"/>
      <sheetName val="NYS MTSP2015"/>
      <sheetName val="NYS MTSP2016"/>
      <sheetName val="MEDRENT10"/>
      <sheetName val="Instructions"/>
      <sheetName val="Sources and Use"/>
      <sheetName val="Devel. Bud"/>
      <sheetName val="Cons Int &amp; Neg Arb"/>
      <sheetName val="Units &amp; Income"/>
      <sheetName val="Rent Chart"/>
      <sheetName val="M and O"/>
      <sheetName val="Cash Flow"/>
      <sheetName val="Tax Credit "/>
      <sheetName val="Trade Pmt"/>
      <sheetName val="Pro Forma Summary"/>
      <sheetName val="Fl Area Summary"/>
      <sheetName val="Reso A"/>
      <sheetName val="Project Summary"/>
      <sheetName val="Bricks and Mortar"/>
      <sheetName val="Pre-Dev"/>
      <sheetName val="4100-100 Commercial Rent"/>
      <sheetName val="REISsub"/>
      <sheetName val="Drop-down options"/>
      <sheetName val="RE Pool"/>
    </sheetNames>
    <sheetDataSet>
      <sheetData sheetId="0" refreshError="1">
        <row r="75">
          <cell r="M75">
            <v>31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 Id="rId9"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7.bin"/><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 Id="rId9"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6.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5.bin"/><Relationship Id="rId3" Type="http://schemas.openxmlformats.org/officeDocument/2006/relationships/printerSettings" Target="../printerSettings/printerSettings40.bin"/><Relationship Id="rId7" Type="http://schemas.openxmlformats.org/officeDocument/2006/relationships/printerSettings" Target="../printerSettings/printerSettings44.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 Id="rId9" Type="http://schemas.openxmlformats.org/officeDocument/2006/relationships/printerSettings" Target="../printerSettings/printerSettings4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4.bin"/><Relationship Id="rId3" Type="http://schemas.openxmlformats.org/officeDocument/2006/relationships/printerSettings" Target="../printerSettings/printerSettings49.bin"/><Relationship Id="rId7" Type="http://schemas.openxmlformats.org/officeDocument/2006/relationships/printerSettings" Target="../printerSettings/printerSettings53.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6" Type="http://schemas.openxmlformats.org/officeDocument/2006/relationships/printerSettings" Target="../printerSettings/printerSettings52.bin"/><Relationship Id="rId11" Type="http://schemas.openxmlformats.org/officeDocument/2006/relationships/comments" Target="../comments1.xml"/><Relationship Id="rId5" Type="http://schemas.openxmlformats.org/officeDocument/2006/relationships/printerSettings" Target="../printerSettings/printerSettings51.bin"/><Relationship Id="rId10" Type="http://schemas.openxmlformats.org/officeDocument/2006/relationships/vmlDrawing" Target="../drawings/vmlDrawing1.vml"/><Relationship Id="rId4" Type="http://schemas.openxmlformats.org/officeDocument/2006/relationships/printerSettings" Target="../printerSettings/printerSettings50.bin"/><Relationship Id="rId9" Type="http://schemas.openxmlformats.org/officeDocument/2006/relationships/printerSettings" Target="../printerSettings/printerSettings5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3.bin"/><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 Id="rId9" Type="http://schemas.openxmlformats.org/officeDocument/2006/relationships/printerSettings" Target="../printerSettings/printerSettings6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2"/>
  <sheetViews>
    <sheetView tabSelected="1" zoomScaleNormal="100" zoomScaleSheetLayoutView="100" workbookViewId="0"/>
  </sheetViews>
  <sheetFormatPr defaultRowHeight="15"/>
  <sheetData>
    <row r="1" spans="1:11">
      <c r="A1" s="547"/>
      <c r="B1" s="541"/>
      <c r="C1" s="541"/>
      <c r="D1" s="541"/>
      <c r="E1" s="541"/>
      <c r="F1" s="541"/>
      <c r="G1" s="541"/>
      <c r="H1" s="541"/>
    </row>
    <row r="2" spans="1:11">
      <c r="A2" s="547" t="s">
        <v>509</v>
      </c>
      <c r="B2" s="541"/>
      <c r="C2" s="541"/>
      <c r="D2" s="541"/>
      <c r="E2" s="541"/>
      <c r="F2" s="541"/>
      <c r="G2" s="541"/>
      <c r="H2" s="541"/>
    </row>
    <row r="4" spans="1:11">
      <c r="A4" s="544" t="s">
        <v>377</v>
      </c>
      <c r="B4" s="44"/>
      <c r="C4" s="44"/>
      <c r="D4" s="44"/>
      <c r="E4" s="44"/>
      <c r="F4" s="44"/>
      <c r="G4" s="44"/>
      <c r="H4" s="44"/>
      <c r="I4" s="44"/>
      <c r="J4" s="44"/>
    </row>
    <row r="5" spans="1:11">
      <c r="A5" s="544"/>
      <c r="B5" s="44"/>
      <c r="C5" s="44"/>
      <c r="D5" s="44"/>
      <c r="E5" s="44"/>
      <c r="F5" s="44"/>
      <c r="G5" s="44"/>
      <c r="H5" s="44"/>
      <c r="I5" s="44"/>
      <c r="J5" s="44"/>
    </row>
    <row r="6" spans="1:11" ht="45" customHeight="1">
      <c r="A6" s="897" t="s">
        <v>379</v>
      </c>
      <c r="B6" s="897"/>
      <c r="C6" s="897"/>
      <c r="D6" s="897"/>
      <c r="E6" s="897"/>
      <c r="F6" s="897"/>
      <c r="G6" s="897"/>
      <c r="H6" s="897"/>
      <c r="I6" s="545"/>
      <c r="J6" s="545"/>
      <c r="K6" s="134"/>
    </row>
    <row r="7" spans="1:11">
      <c r="A7" s="44"/>
      <c r="B7" s="44"/>
      <c r="C7" s="44"/>
      <c r="D7" s="44"/>
      <c r="E7" s="44"/>
      <c r="F7" s="44"/>
      <c r="G7" s="44"/>
      <c r="H7" s="44"/>
      <c r="I7" s="44"/>
      <c r="J7" s="44"/>
    </row>
    <row r="8" spans="1:11" ht="30.75" customHeight="1">
      <c r="A8" s="897" t="s">
        <v>378</v>
      </c>
      <c r="B8" s="897"/>
      <c r="C8" s="897"/>
      <c r="D8" s="897"/>
      <c r="E8" s="897"/>
      <c r="F8" s="897"/>
      <c r="G8" s="897"/>
      <c r="H8" s="897"/>
      <c r="I8" s="542"/>
      <c r="J8" s="542"/>
      <c r="K8" s="543"/>
    </row>
    <row r="10" spans="1:11" ht="30.75" customHeight="1">
      <c r="A10" s="898" t="s">
        <v>504</v>
      </c>
      <c r="B10" s="898"/>
      <c r="C10" s="898"/>
      <c r="D10" s="898"/>
      <c r="E10" s="898"/>
      <c r="F10" s="898"/>
      <c r="G10" s="898"/>
      <c r="H10" s="898"/>
    </row>
    <row r="12" spans="1:11">
      <c r="A12" s="561"/>
    </row>
  </sheetData>
  <mergeCells count="3">
    <mergeCell ref="A6:H6"/>
    <mergeCell ref="A8:H8"/>
    <mergeCell ref="A10:H10"/>
  </mergeCells>
  <phoneticPr fontId="33" type="noConversion"/>
  <pageMargins left="0.75" right="0.75" top="1" bottom="1" header="0.5" footer="0.5"/>
  <pageSetup firstPageNumber="205" fitToHeight="0" orientation="portrait" useFirstPageNumber="1" r:id="rId1"/>
  <headerFooter alignWithMargins="0">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36"/>
  <sheetViews>
    <sheetView zoomScaleNormal="100" workbookViewId="0"/>
  </sheetViews>
  <sheetFormatPr defaultColWidth="7.109375" defaultRowHeight="12.75"/>
  <cols>
    <col min="1" max="1" width="3.44140625" style="431" customWidth="1"/>
    <col min="2" max="2" width="18.5546875" style="427" bestFit="1" customWidth="1"/>
    <col min="3" max="3" width="17.77734375" style="427" customWidth="1"/>
    <col min="4" max="4" width="16.6640625" style="434" customWidth="1"/>
    <col min="5" max="16384" width="7.109375" style="427"/>
  </cols>
  <sheetData>
    <row r="1" spans="1:6" s="44" customFormat="1" ht="16.5" customHeight="1">
      <c r="A1" s="1" t="str">
        <f>'Sources and Use'!A1</f>
        <v xml:space="preserve">Project Name: </v>
      </c>
      <c r="C1" s="24"/>
      <c r="D1" s="422" t="str">
        <f>'Sources and Use'!C2</f>
        <v>Units:</v>
      </c>
      <c r="E1" s="1">
        <f>'Units &amp; Income'!C23</f>
        <v>0</v>
      </c>
      <c r="F1" s="25"/>
    </row>
    <row r="2" spans="1:6" s="44" customFormat="1" ht="16.5" customHeight="1">
      <c r="A2" s="1" t="str">
        <f>'Sources and Use'!A2</f>
        <v>Site:</v>
      </c>
      <c r="C2" s="24"/>
      <c r="D2" s="86"/>
      <c r="E2" s="1"/>
      <c r="F2" s="25"/>
    </row>
    <row r="4" spans="1:6" s="429" customFormat="1" ht="13.15">
      <c r="A4" s="428" t="s">
        <v>255</v>
      </c>
      <c r="D4" s="430" t="s">
        <v>256</v>
      </c>
    </row>
    <row r="6" spans="1:6" ht="20.25" customHeight="1">
      <c r="A6" s="431">
        <v>1</v>
      </c>
      <c r="B6" s="427" t="s">
        <v>257</v>
      </c>
      <c r="D6" s="432"/>
    </row>
    <row r="7" spans="1:6" ht="20.25" customHeight="1">
      <c r="A7" s="431">
        <v>2</v>
      </c>
      <c r="B7" s="427" t="s">
        <v>258</v>
      </c>
      <c r="D7" s="432"/>
    </row>
    <row r="8" spans="1:6" ht="20.25" customHeight="1">
      <c r="A8" s="431">
        <v>3</v>
      </c>
      <c r="B8" s="495" t="s">
        <v>327</v>
      </c>
      <c r="D8" s="432"/>
    </row>
    <row r="9" spans="1:6" ht="20.25" customHeight="1">
      <c r="A9" s="431">
        <v>4</v>
      </c>
      <c r="B9" s="427" t="s">
        <v>259</v>
      </c>
      <c r="D9" s="432"/>
    </row>
    <row r="10" spans="1:6" ht="20.25" customHeight="1">
      <c r="A10" s="431">
        <v>5</v>
      </c>
      <c r="B10" s="427" t="s">
        <v>260</v>
      </c>
      <c r="D10" s="432"/>
    </row>
    <row r="11" spans="1:6" ht="20.25" customHeight="1">
      <c r="A11" s="431" t="s">
        <v>261</v>
      </c>
      <c r="B11" s="427" t="s">
        <v>262</v>
      </c>
      <c r="D11" s="432"/>
    </row>
    <row r="12" spans="1:6" ht="20.25" customHeight="1">
      <c r="A12" s="431" t="s">
        <v>263</v>
      </c>
      <c r="B12" s="427" t="s">
        <v>264</v>
      </c>
      <c r="D12" s="432"/>
    </row>
    <row r="13" spans="1:6" ht="20.25" customHeight="1">
      <c r="A13" s="431">
        <v>7</v>
      </c>
      <c r="B13" s="427" t="s">
        <v>265</v>
      </c>
      <c r="D13" s="432"/>
    </row>
    <row r="14" spans="1:6" ht="20.25" customHeight="1">
      <c r="A14" s="431">
        <v>8</v>
      </c>
      <c r="B14" s="427" t="s">
        <v>266</v>
      </c>
      <c r="D14" s="432"/>
    </row>
    <row r="15" spans="1:6" ht="20.25" customHeight="1">
      <c r="A15" s="431">
        <v>9</v>
      </c>
      <c r="B15" s="427" t="s">
        <v>267</v>
      </c>
      <c r="D15" s="432"/>
    </row>
    <row r="16" spans="1:6" ht="20.25" customHeight="1">
      <c r="A16" s="431">
        <v>10</v>
      </c>
      <c r="B16" s="427" t="s">
        <v>268</v>
      </c>
      <c r="D16" s="432"/>
    </row>
    <row r="17" spans="1:4" ht="20.25" customHeight="1">
      <c r="A17" s="431">
        <v>11</v>
      </c>
      <c r="B17" s="427" t="s">
        <v>269</v>
      </c>
      <c r="D17" s="432"/>
    </row>
    <row r="18" spans="1:4" ht="20.25" customHeight="1">
      <c r="A18" s="431">
        <v>12</v>
      </c>
      <c r="B18" s="427" t="s">
        <v>270</v>
      </c>
      <c r="D18" s="432"/>
    </row>
    <row r="19" spans="1:4" ht="20.25" customHeight="1">
      <c r="A19" s="431">
        <v>13</v>
      </c>
      <c r="B19" s="427" t="s">
        <v>271</v>
      </c>
      <c r="D19" s="432"/>
    </row>
    <row r="20" spans="1:4" ht="20.25" customHeight="1">
      <c r="A20" s="431">
        <v>14</v>
      </c>
      <c r="B20" s="427" t="s">
        <v>272</v>
      </c>
      <c r="D20" s="432"/>
    </row>
    <row r="21" spans="1:4" ht="20.25" customHeight="1">
      <c r="A21" s="431">
        <v>15</v>
      </c>
      <c r="B21" s="427" t="s">
        <v>273</v>
      </c>
      <c r="D21" s="432"/>
    </row>
    <row r="22" spans="1:4" ht="20.25" customHeight="1">
      <c r="A22" s="431">
        <v>16</v>
      </c>
      <c r="B22" s="427" t="s">
        <v>274</v>
      </c>
      <c r="D22" s="432"/>
    </row>
    <row r="23" spans="1:4" ht="20.25" customHeight="1">
      <c r="A23" s="431" t="s">
        <v>275</v>
      </c>
      <c r="B23" s="427" t="s">
        <v>19</v>
      </c>
      <c r="D23" s="432"/>
    </row>
    <row r="24" spans="1:4" ht="20.25" customHeight="1">
      <c r="A24" s="431" t="s">
        <v>276</v>
      </c>
      <c r="B24" s="427" t="s">
        <v>277</v>
      </c>
      <c r="D24" s="432"/>
    </row>
    <row r="25" spans="1:4" ht="20.25" customHeight="1">
      <c r="A25" s="431">
        <v>18</v>
      </c>
      <c r="B25" s="427" t="s">
        <v>278</v>
      </c>
      <c r="D25" s="432"/>
    </row>
    <row r="26" spans="1:4" ht="20.25" customHeight="1">
      <c r="A26" s="431">
        <v>19</v>
      </c>
      <c r="B26" s="427" t="s">
        <v>279</v>
      </c>
      <c r="D26" s="432"/>
    </row>
    <row r="27" spans="1:4" ht="20.25" customHeight="1">
      <c r="A27" s="431">
        <v>20</v>
      </c>
      <c r="B27" s="427" t="s">
        <v>280</v>
      </c>
      <c r="D27" s="432"/>
    </row>
    <row r="28" spans="1:4" ht="20.25" customHeight="1">
      <c r="A28" s="431">
        <v>21</v>
      </c>
      <c r="B28" s="427" t="s">
        <v>281</v>
      </c>
      <c r="D28" s="432"/>
    </row>
    <row r="29" spans="1:4" ht="20.25" customHeight="1">
      <c r="A29" s="431">
        <v>22</v>
      </c>
      <c r="B29" s="427" t="s">
        <v>282</v>
      </c>
      <c r="D29" s="432"/>
    </row>
    <row r="30" spans="1:4" ht="20.25" customHeight="1">
      <c r="A30" s="431">
        <v>23</v>
      </c>
      <c r="B30" s="427" t="s">
        <v>282</v>
      </c>
      <c r="D30" s="432"/>
    </row>
    <row r="31" spans="1:4" ht="20.25" customHeight="1">
      <c r="A31" s="433">
        <v>24</v>
      </c>
      <c r="B31" s="427" t="s">
        <v>282</v>
      </c>
      <c r="D31" s="432"/>
    </row>
    <row r="32" spans="1:4" s="429" customFormat="1" ht="20.25" customHeight="1">
      <c r="A32" s="428">
        <v>25</v>
      </c>
      <c r="B32" s="429" t="s">
        <v>334</v>
      </c>
      <c r="D32" s="432">
        <f>SUM(D6:D31)</f>
        <v>0</v>
      </c>
    </row>
    <row r="33" spans="1:4" ht="20.25" customHeight="1">
      <c r="A33" s="431">
        <v>26</v>
      </c>
      <c r="B33" s="427" t="s">
        <v>103</v>
      </c>
      <c r="D33" s="432"/>
    </row>
    <row r="34" spans="1:4" ht="20.25" customHeight="1">
      <c r="A34" s="431">
        <v>27</v>
      </c>
      <c r="B34" s="427" t="s">
        <v>283</v>
      </c>
      <c r="D34" s="432"/>
    </row>
    <row r="35" spans="1:4" ht="20.25" customHeight="1">
      <c r="A35" s="433">
        <v>28</v>
      </c>
      <c r="B35" s="427" t="s">
        <v>284</v>
      </c>
      <c r="D35" s="432"/>
    </row>
    <row r="36" spans="1:4" s="429" customFormat="1" ht="20.25" customHeight="1">
      <c r="A36" s="429">
        <v>29</v>
      </c>
      <c r="B36" s="429" t="s">
        <v>335</v>
      </c>
      <c r="D36" s="432">
        <f>SUM(D32:D35)</f>
        <v>0</v>
      </c>
    </row>
  </sheetData>
  <phoneticPr fontId="33" type="noConversion"/>
  <printOptions horizontalCentered="1"/>
  <pageMargins left="0.75" right="0.75" top="1" bottom="1" header="0.5" footer="0.5"/>
  <pageSetup scale="94" firstPageNumber="214"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5"/>
  <sheetViews>
    <sheetView zoomScale="70" zoomScaleNormal="70" workbookViewId="0">
      <selection activeCell="E9" sqref="E9"/>
    </sheetView>
  </sheetViews>
  <sheetFormatPr defaultRowHeight="15"/>
  <cols>
    <col min="1" max="1" width="34.109375" customWidth="1"/>
    <col min="3" max="3" width="11.88671875" bestFit="1" customWidth="1"/>
    <col min="5" max="5" width="12.21875" bestFit="1" customWidth="1"/>
    <col min="7" max="7" width="12.21875" bestFit="1" customWidth="1"/>
    <col min="9" max="9" width="11.6640625" bestFit="1" customWidth="1"/>
  </cols>
  <sheetData>
    <row r="1" spans="1:9">
      <c r="A1" s="429" t="str">
        <f>'Sources and Use'!A1</f>
        <v xml:space="preserve">Project Name: </v>
      </c>
      <c r="B1" s="429"/>
      <c r="C1" s="429"/>
      <c r="D1" s="429"/>
      <c r="E1" s="429"/>
      <c r="F1" s="429"/>
      <c r="G1" s="489" t="str">
        <f>'Sources and Use'!C2</f>
        <v>Units:</v>
      </c>
      <c r="H1" s="429"/>
      <c r="I1" s="429">
        <f>'Units &amp; Income'!C23</f>
        <v>0</v>
      </c>
    </row>
    <row r="2" spans="1:9">
      <c r="A2" s="429" t="str">
        <f>'Sources and Use'!A2</f>
        <v>Site:</v>
      </c>
      <c r="B2" s="488"/>
      <c r="C2" s="490"/>
      <c r="D2" s="490"/>
      <c r="E2" s="490"/>
      <c r="F2" s="490"/>
      <c r="G2" s="490"/>
      <c r="H2" s="490"/>
      <c r="I2" s="490"/>
    </row>
    <row r="3" spans="1:9" ht="33" customHeight="1">
      <c r="A3" s="915" t="s">
        <v>324</v>
      </c>
      <c r="B3" s="915"/>
      <c r="C3" s="916"/>
      <c r="D3" s="916"/>
      <c r="E3" s="916"/>
      <c r="F3" s="916"/>
      <c r="G3" s="916"/>
      <c r="H3" s="916"/>
      <c r="I3" s="916"/>
    </row>
    <row r="4" spans="1:9">
      <c r="A4" s="915" t="s">
        <v>454</v>
      </c>
      <c r="B4" s="915"/>
      <c r="C4" s="916"/>
      <c r="D4" s="916"/>
      <c r="E4" s="916"/>
      <c r="F4" s="916"/>
      <c r="G4" s="916"/>
      <c r="H4" s="916"/>
      <c r="I4" s="916"/>
    </row>
    <row r="5" spans="1:9">
      <c r="A5" s="427"/>
      <c r="B5" s="427"/>
      <c r="C5" s="440" t="s">
        <v>298</v>
      </c>
      <c r="D5" s="441"/>
      <c r="E5" s="440" t="s">
        <v>299</v>
      </c>
      <c r="F5" s="441"/>
      <c r="G5" s="440" t="s">
        <v>300</v>
      </c>
      <c r="H5" s="442"/>
      <c r="I5" s="443" t="s">
        <v>301</v>
      </c>
    </row>
    <row r="6" spans="1:9">
      <c r="A6" s="444" t="s">
        <v>403</v>
      </c>
      <c r="B6" s="445"/>
      <c r="C6" s="446" t="s">
        <v>303</v>
      </c>
      <c r="D6" s="447"/>
      <c r="E6" s="446" t="s">
        <v>303</v>
      </c>
      <c r="F6" s="447"/>
      <c r="G6" s="446" t="s">
        <v>303</v>
      </c>
      <c r="H6" s="448"/>
      <c r="I6" s="449" t="s">
        <v>304</v>
      </c>
    </row>
    <row r="7" spans="1:9">
      <c r="A7" s="428" t="s">
        <v>414</v>
      </c>
    </row>
    <row r="8" spans="1:9">
      <c r="A8" s="581" t="s">
        <v>404</v>
      </c>
    </row>
    <row r="9" spans="1:9">
      <c r="A9" s="581" t="s">
        <v>405</v>
      </c>
    </row>
    <row r="10" spans="1:9">
      <c r="A10" s="581" t="s">
        <v>406</v>
      </c>
    </row>
    <row r="11" spans="1:9">
      <c r="A11" s="581" t="s">
        <v>407</v>
      </c>
    </row>
    <row r="12" spans="1:9">
      <c r="A12" s="581" t="s">
        <v>415</v>
      </c>
    </row>
    <row r="13" spans="1:9">
      <c r="A13" s="581" t="s">
        <v>461</v>
      </c>
    </row>
    <row r="14" spans="1:9">
      <c r="A14" s="581" t="s">
        <v>462</v>
      </c>
    </row>
    <row r="15" spans="1:9">
      <c r="A15" s="581" t="s">
        <v>463</v>
      </c>
    </row>
    <row r="16" spans="1:9">
      <c r="A16" s="581"/>
    </row>
    <row r="17" spans="1:1">
      <c r="A17" s="582" t="s">
        <v>416</v>
      </c>
    </row>
    <row r="18" spans="1:1">
      <c r="A18" s="581" t="s">
        <v>408</v>
      </c>
    </row>
    <row r="19" spans="1:1">
      <c r="A19" s="581" t="s">
        <v>409</v>
      </c>
    </row>
    <row r="20" spans="1:1">
      <c r="A20" s="581" t="s">
        <v>410</v>
      </c>
    </row>
    <row r="21" spans="1:1">
      <c r="A21" s="581" t="s">
        <v>411</v>
      </c>
    </row>
    <row r="22" spans="1:1">
      <c r="A22" s="581" t="s">
        <v>412</v>
      </c>
    </row>
    <row r="23" spans="1:1">
      <c r="A23" s="581" t="s">
        <v>413</v>
      </c>
    </row>
    <row r="24" spans="1:1">
      <c r="A24" s="581" t="s">
        <v>418</v>
      </c>
    </row>
    <row r="25" spans="1:1">
      <c r="A25" s="581" t="s">
        <v>417</v>
      </c>
    </row>
    <row r="26" spans="1:1">
      <c r="A26" s="581" t="s">
        <v>419</v>
      </c>
    </row>
    <row r="27" spans="1:1">
      <c r="A27" s="581" t="s">
        <v>420</v>
      </c>
    </row>
    <row r="28" spans="1:1">
      <c r="A28" s="581"/>
    </row>
    <row r="29" spans="1:1">
      <c r="A29" s="582" t="s">
        <v>427</v>
      </c>
    </row>
    <row r="30" spans="1:1">
      <c r="A30" s="581" t="s">
        <v>428</v>
      </c>
    </row>
    <row r="31" spans="1:1">
      <c r="A31" s="581" t="s">
        <v>435</v>
      </c>
    </row>
    <row r="32" spans="1:1">
      <c r="A32" s="581" t="s">
        <v>436</v>
      </c>
    </row>
    <row r="33" spans="1:1">
      <c r="A33" s="581" t="s">
        <v>437</v>
      </c>
    </row>
    <row r="34" spans="1:1">
      <c r="A34" s="581" t="s">
        <v>438</v>
      </c>
    </row>
    <row r="35" spans="1:1">
      <c r="A35" s="581" t="s">
        <v>439</v>
      </c>
    </row>
    <row r="36" spans="1:1">
      <c r="A36" s="581" t="s">
        <v>440</v>
      </c>
    </row>
    <row r="37" spans="1:1">
      <c r="A37" s="581" t="s">
        <v>441</v>
      </c>
    </row>
    <row r="38" spans="1:1">
      <c r="A38" s="581" t="s">
        <v>441</v>
      </c>
    </row>
    <row r="39" spans="1:1">
      <c r="A39" s="581" t="s">
        <v>442</v>
      </c>
    </row>
    <row r="40" spans="1:1">
      <c r="A40" s="581" t="s">
        <v>452</v>
      </c>
    </row>
    <row r="41" spans="1:1">
      <c r="A41" s="581" t="s">
        <v>446</v>
      </c>
    </row>
    <row r="42" spans="1:1">
      <c r="A42" s="581" t="s">
        <v>445</v>
      </c>
    </row>
    <row r="43" spans="1:1">
      <c r="A43" s="581" t="s">
        <v>444</v>
      </c>
    </row>
    <row r="44" spans="1:1">
      <c r="A44" s="581" t="s">
        <v>443</v>
      </c>
    </row>
    <row r="45" spans="1:1">
      <c r="A45" s="581" t="s">
        <v>447</v>
      </c>
    </row>
    <row r="46" spans="1:1">
      <c r="A46" s="581" t="s">
        <v>448</v>
      </c>
    </row>
    <row r="47" spans="1:1">
      <c r="A47" s="581" t="s">
        <v>449</v>
      </c>
    </row>
    <row r="48" spans="1:1">
      <c r="A48" s="581" t="s">
        <v>450</v>
      </c>
    </row>
    <row r="49" spans="1:1">
      <c r="A49" s="581"/>
    </row>
    <row r="50" spans="1:1">
      <c r="A50" s="582" t="s">
        <v>455</v>
      </c>
    </row>
    <row r="51" spans="1:1">
      <c r="A51" s="581" t="s">
        <v>456</v>
      </c>
    </row>
    <row r="52" spans="1:1">
      <c r="A52" s="581" t="s">
        <v>457</v>
      </c>
    </row>
    <row r="53" spans="1:1">
      <c r="A53" s="581" t="s">
        <v>458</v>
      </c>
    </row>
    <row r="54" spans="1:1">
      <c r="A54" s="581" t="s">
        <v>425</v>
      </c>
    </row>
    <row r="55" spans="1:1">
      <c r="A55" s="581" t="s">
        <v>426</v>
      </c>
    </row>
    <row r="56" spans="1:1">
      <c r="A56" s="581"/>
    </row>
    <row r="57" spans="1:1">
      <c r="A57" s="582" t="s">
        <v>422</v>
      </c>
    </row>
    <row r="58" spans="1:1">
      <c r="A58" s="581" t="s">
        <v>421</v>
      </c>
    </row>
    <row r="59" spans="1:1">
      <c r="A59" s="581" t="s">
        <v>429</v>
      </c>
    </row>
    <row r="60" spans="1:1">
      <c r="A60" s="581" t="s">
        <v>430</v>
      </c>
    </row>
    <row r="61" spans="1:1">
      <c r="A61" s="581" t="s">
        <v>431</v>
      </c>
    </row>
    <row r="62" spans="1:1">
      <c r="A62" s="581" t="s">
        <v>432</v>
      </c>
    </row>
    <row r="63" spans="1:1">
      <c r="A63" s="581" t="s">
        <v>433</v>
      </c>
    </row>
    <row r="64" spans="1:1">
      <c r="A64" s="581" t="s">
        <v>460</v>
      </c>
    </row>
    <row r="65" spans="1:1">
      <c r="A65" s="581" t="s">
        <v>434</v>
      </c>
    </row>
    <row r="66" spans="1:1">
      <c r="A66" s="581"/>
    </row>
    <row r="67" spans="1:1">
      <c r="A67" s="582" t="s">
        <v>451</v>
      </c>
    </row>
    <row r="68" spans="1:1">
      <c r="A68" s="581"/>
    </row>
    <row r="69" spans="1:1">
      <c r="A69" s="581"/>
    </row>
    <row r="70" spans="1:1">
      <c r="A70" s="581"/>
    </row>
    <row r="71" spans="1:1">
      <c r="A71" s="581"/>
    </row>
    <row r="72" spans="1:1">
      <c r="A72" s="581"/>
    </row>
    <row r="73" spans="1:1">
      <c r="A73" s="581"/>
    </row>
    <row r="74" spans="1:1">
      <c r="A74" s="581"/>
    </row>
    <row r="75" spans="1:1">
      <c r="A75" s="581"/>
    </row>
    <row r="76" spans="1:1">
      <c r="A76" s="581"/>
    </row>
    <row r="77" spans="1:1">
      <c r="A77" s="581"/>
    </row>
    <row r="78" spans="1:1">
      <c r="A78" s="581"/>
    </row>
    <row r="79" spans="1:1">
      <c r="A79" s="581"/>
    </row>
    <row r="80" spans="1:1">
      <c r="A80" s="581"/>
    </row>
    <row r="81" spans="1:1">
      <c r="A81" s="581"/>
    </row>
    <row r="82" spans="1:1">
      <c r="A82" s="581"/>
    </row>
    <row r="83" spans="1:1">
      <c r="A83" s="581"/>
    </row>
    <row r="84" spans="1:1">
      <c r="A84" s="581"/>
    </row>
    <row r="85" spans="1:1">
      <c r="A85" s="581"/>
    </row>
    <row r="86" spans="1:1">
      <c r="A86" s="581"/>
    </row>
    <row r="87" spans="1:1">
      <c r="A87" s="581"/>
    </row>
    <row r="88" spans="1:1">
      <c r="A88" s="581"/>
    </row>
    <row r="89" spans="1:1">
      <c r="A89" s="581"/>
    </row>
    <row r="90" spans="1:1">
      <c r="A90" s="581"/>
    </row>
    <row r="91" spans="1:1">
      <c r="A91" s="581"/>
    </row>
    <row r="92" spans="1:1">
      <c r="A92" s="581"/>
    </row>
    <row r="93" spans="1:1">
      <c r="A93" s="581"/>
    </row>
    <row r="94" spans="1:1">
      <c r="A94" s="581"/>
    </row>
    <row r="95" spans="1:1">
      <c r="A95" s="581"/>
    </row>
    <row r="96" spans="1:1">
      <c r="A96" s="581"/>
    </row>
    <row r="97" spans="1:1">
      <c r="A97" s="581"/>
    </row>
    <row r="98" spans="1:1">
      <c r="A98" s="581"/>
    </row>
    <row r="99" spans="1:1">
      <c r="A99" s="581"/>
    </row>
    <row r="100" spans="1:1">
      <c r="A100" s="581"/>
    </row>
    <row r="101" spans="1:1">
      <c r="A101" s="581"/>
    </row>
    <row r="102" spans="1:1">
      <c r="A102" s="581"/>
    </row>
    <row r="103" spans="1:1">
      <c r="A103" s="581"/>
    </row>
    <row r="104" spans="1:1">
      <c r="A104" s="581"/>
    </row>
    <row r="105" spans="1:1">
      <c r="A105" s="581"/>
    </row>
    <row r="106" spans="1:1">
      <c r="A106" s="581"/>
    </row>
    <row r="107" spans="1:1">
      <c r="A107" s="581"/>
    </row>
    <row r="108" spans="1:1">
      <c r="A108" s="581"/>
    </row>
    <row r="109" spans="1:1">
      <c r="A109" s="581"/>
    </row>
    <row r="110" spans="1:1">
      <c r="A110" s="581"/>
    </row>
    <row r="111" spans="1:1">
      <c r="A111" s="581"/>
    </row>
    <row r="112" spans="1:1">
      <c r="A112" s="581"/>
    </row>
    <row r="113" spans="1:1">
      <c r="A113" s="581"/>
    </row>
    <row r="114" spans="1:1">
      <c r="A114" s="581"/>
    </row>
    <row r="115" spans="1:1">
      <c r="A115" s="581"/>
    </row>
    <row r="116" spans="1:1">
      <c r="A116" s="581"/>
    </row>
    <row r="117" spans="1:1">
      <c r="A117" s="581"/>
    </row>
    <row r="118" spans="1:1">
      <c r="A118" s="581"/>
    </row>
    <row r="119" spans="1:1">
      <c r="A119" s="581"/>
    </row>
    <row r="120" spans="1:1">
      <c r="A120" s="581"/>
    </row>
    <row r="121" spans="1:1">
      <c r="A121" s="581"/>
    </row>
    <row r="122" spans="1:1">
      <c r="A122" s="581"/>
    </row>
    <row r="123" spans="1:1">
      <c r="A123" s="581"/>
    </row>
    <row r="124" spans="1:1">
      <c r="A124" s="581"/>
    </row>
    <row r="125" spans="1:1">
      <c r="A125" s="581"/>
    </row>
  </sheetData>
  <mergeCells count="2">
    <mergeCell ref="A3:I3"/>
    <mergeCell ref="A4:I4"/>
  </mergeCells>
  <phoneticPr fontId="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2"/>
  <sheetViews>
    <sheetView zoomScaleNormal="100" workbookViewId="0"/>
  </sheetViews>
  <sheetFormatPr defaultColWidth="7.109375" defaultRowHeight="12.75"/>
  <cols>
    <col min="1" max="1" width="14.21875" style="427" customWidth="1"/>
    <col min="2" max="4" width="7.109375" style="427" customWidth="1"/>
    <col min="5" max="5" width="15.6640625" style="427" customWidth="1"/>
    <col min="6" max="6" width="7.109375" style="427"/>
    <col min="7" max="7" width="10.77734375" style="427" customWidth="1"/>
    <col min="8" max="16384" width="7.109375" style="427"/>
  </cols>
  <sheetData>
    <row r="1" spans="1:7" s="492" customFormat="1" ht="15">
      <c r="A1" s="492" t="str">
        <f>'Sources and Use'!A1</f>
        <v xml:space="preserve">Project Name: </v>
      </c>
      <c r="F1" s="492" t="str">
        <f>'Sources and Use'!C2</f>
        <v>Units:</v>
      </c>
      <c r="G1" s="492">
        <f>'Units &amp; Income'!C23</f>
        <v>0</v>
      </c>
    </row>
    <row r="2" spans="1:7" s="494" customFormat="1" ht="20.25" customHeight="1">
      <c r="A2" s="492" t="str">
        <f>'Sources and Use'!A2</f>
        <v>Site:</v>
      </c>
      <c r="B2" s="493"/>
      <c r="C2" s="493"/>
      <c r="D2" s="493"/>
      <c r="E2" s="493"/>
      <c r="F2" s="493"/>
      <c r="G2" s="493"/>
    </row>
    <row r="3" spans="1:7" ht="11.25" customHeight="1">
      <c r="A3" s="435"/>
    </row>
    <row r="4" spans="1:7" ht="13.15">
      <c r="A4" s="429" t="s">
        <v>285</v>
      </c>
    </row>
    <row r="6" spans="1:7">
      <c r="A6" s="427" t="s">
        <v>286</v>
      </c>
    </row>
    <row r="8" spans="1:7" ht="20.25" customHeight="1">
      <c r="A8" s="583" t="s">
        <v>423</v>
      </c>
      <c r="E8" s="584"/>
    </row>
    <row r="9" spans="1:7" ht="20.25" customHeight="1">
      <c r="A9" s="583" t="s">
        <v>424</v>
      </c>
      <c r="E9" s="585"/>
    </row>
    <row r="10" spans="1:7" ht="20.25" customHeight="1">
      <c r="A10" s="583" t="s">
        <v>453</v>
      </c>
      <c r="E10" s="585"/>
    </row>
    <row r="11" spans="1:7" ht="20.25" customHeight="1"/>
    <row r="12" spans="1:7" ht="18" customHeight="1">
      <c r="A12" s="427" t="s">
        <v>287</v>
      </c>
      <c r="E12" s="436">
        <f>'Units &amp; Income'!C5</f>
        <v>0</v>
      </c>
    </row>
    <row r="13" spans="1:7" ht="18" customHeight="1">
      <c r="A13" s="427" t="s">
        <v>288</v>
      </c>
      <c r="E13" s="436"/>
    </row>
    <row r="14" spans="1:7" ht="18" customHeight="1">
      <c r="A14" s="427" t="s">
        <v>289</v>
      </c>
      <c r="E14" s="436"/>
    </row>
    <row r="15" spans="1:7" ht="18" customHeight="1">
      <c r="A15" s="427" t="s">
        <v>290</v>
      </c>
      <c r="E15" s="436"/>
    </row>
    <row r="16" spans="1:7" ht="18" customHeight="1">
      <c r="A16" s="427" t="s">
        <v>291</v>
      </c>
      <c r="E16" s="436"/>
    </row>
    <row r="17" spans="1:5" ht="18" customHeight="1">
      <c r="A17" s="427" t="s">
        <v>292</v>
      </c>
      <c r="E17" s="436"/>
    </row>
    <row r="18" spans="1:5" ht="18" customHeight="1">
      <c r="A18" s="427" t="s">
        <v>293</v>
      </c>
      <c r="E18" s="436">
        <f>'Units &amp; Income'!C7</f>
        <v>0</v>
      </c>
    </row>
    <row r="19" spans="1:5" ht="18" customHeight="1">
      <c r="A19" s="427" t="s">
        <v>294</v>
      </c>
      <c r="E19" s="436">
        <f>'Units &amp; Income'!C8</f>
        <v>0</v>
      </c>
    </row>
    <row r="20" spans="1:5" ht="18" customHeight="1">
      <c r="A20" s="487" t="s">
        <v>295</v>
      </c>
      <c r="E20" s="436"/>
    </row>
    <row r="21" spans="1:5" ht="18" customHeight="1">
      <c r="A21" s="427" t="s">
        <v>296</v>
      </c>
      <c r="E21" s="436"/>
    </row>
    <row r="22" spans="1:5" ht="18" customHeight="1">
      <c r="A22" s="429" t="s">
        <v>297</v>
      </c>
      <c r="E22" s="437">
        <f>SUM(E12:E21)</f>
        <v>0</v>
      </c>
    </row>
  </sheetData>
  <phoneticPr fontId="33" type="noConversion"/>
  <printOptions horizontalCentered="1"/>
  <pageMargins left="0.75" right="0.75" top="1" bottom="1" header="0.5" footer="0.5"/>
  <pageSetup firstPageNumber="215"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A0C6E-9096-4B0D-86A1-1922871659FB}">
  <sheetPr>
    <pageSetUpPr fitToPage="1"/>
  </sheetPr>
  <dimension ref="A1:S115"/>
  <sheetViews>
    <sheetView showGridLines="0" zoomScaleNormal="100" zoomScaleSheetLayoutView="100" workbookViewId="0">
      <selection activeCell="A82" sqref="A82"/>
    </sheetView>
  </sheetViews>
  <sheetFormatPr defaultColWidth="8.6640625" defaultRowHeight="15"/>
  <cols>
    <col min="1" max="4" width="10.5546875" style="762" customWidth="1"/>
    <col min="5" max="5" width="13.5546875" style="763" customWidth="1"/>
    <col min="6" max="6" width="11.77734375" style="763" customWidth="1"/>
    <col min="7" max="7" width="12" style="763" customWidth="1"/>
    <col min="8" max="8" width="14.21875" style="762" customWidth="1"/>
    <col min="9" max="9" width="11.109375" style="762" customWidth="1"/>
    <col min="10" max="10" width="1.33203125" style="762" customWidth="1"/>
    <col min="11" max="11" width="11.109375" style="762" customWidth="1"/>
    <col min="12" max="12" width="12.21875" style="762" customWidth="1"/>
    <col min="13" max="13" width="1.21875" style="762" customWidth="1"/>
    <col min="14" max="14" width="11.21875" style="762" customWidth="1"/>
    <col min="15" max="15" width="9" style="762" customWidth="1"/>
    <col min="16" max="16" width="17" style="762" customWidth="1"/>
    <col min="17" max="16384" width="8.6640625" style="762"/>
  </cols>
  <sheetData>
    <row r="1" spans="1:16">
      <c r="A1" s="761" t="s">
        <v>560</v>
      </c>
      <c r="F1" s="764"/>
      <c r="G1" s="764"/>
    </row>
    <row r="2" spans="1:16" ht="15.4">
      <c r="A2" s="761"/>
      <c r="E2" s="864" t="s">
        <v>561</v>
      </c>
      <c r="F2" s="764"/>
      <c r="G2" s="762"/>
      <c r="N2" s="865"/>
      <c r="O2" s="865"/>
      <c r="P2" s="865"/>
    </row>
    <row r="3" spans="1:16" ht="18" customHeight="1">
      <c r="A3" s="866"/>
      <c r="E3" s="867" t="s">
        <v>523</v>
      </c>
      <c r="F3" s="867" t="s">
        <v>523</v>
      </c>
      <c r="G3" s="867" t="s">
        <v>523</v>
      </c>
      <c r="H3" s="867" t="s">
        <v>523</v>
      </c>
      <c r="K3" s="929" t="s">
        <v>562</v>
      </c>
      <c r="L3" s="930"/>
      <c r="M3" s="930"/>
      <c r="N3" s="930"/>
      <c r="O3" s="931"/>
      <c r="P3" s="865"/>
    </row>
    <row r="4" spans="1:16" ht="38.25" customHeight="1">
      <c r="A4" s="868"/>
      <c r="B4" s="869"/>
      <c r="E4" s="870" t="s">
        <v>510</v>
      </c>
      <c r="F4" s="870" t="s">
        <v>511</v>
      </c>
      <c r="G4" s="870" t="s">
        <v>340</v>
      </c>
      <c r="H4" s="870" t="s">
        <v>512</v>
      </c>
      <c r="I4" s="871" t="s">
        <v>496</v>
      </c>
      <c r="K4" s="872"/>
      <c r="L4" s="873" t="s">
        <v>563</v>
      </c>
      <c r="M4" s="763"/>
      <c r="N4" s="873" t="s">
        <v>564</v>
      </c>
      <c r="O4" s="874"/>
      <c r="P4" s="865"/>
    </row>
    <row r="5" spans="1:16" ht="15.4">
      <c r="A5" s="766">
        <v>155300</v>
      </c>
      <c r="B5" s="764" t="s">
        <v>513</v>
      </c>
      <c r="D5" s="767" t="s">
        <v>342</v>
      </c>
      <c r="E5" s="875">
        <v>85</v>
      </c>
      <c r="F5" s="875">
        <v>74</v>
      </c>
      <c r="G5" s="875">
        <v>25</v>
      </c>
      <c r="H5" s="768">
        <f>F5+G5</f>
        <v>99</v>
      </c>
      <c r="I5" s="876"/>
      <c r="K5" s="877" t="s">
        <v>342</v>
      </c>
      <c r="L5" s="878">
        <v>400</v>
      </c>
      <c r="M5" s="772"/>
      <c r="N5" s="878">
        <v>500</v>
      </c>
      <c r="O5" s="879"/>
      <c r="P5" s="880"/>
    </row>
    <row r="6" spans="1:16" ht="15" customHeight="1">
      <c r="A6" s="766">
        <v>2752</v>
      </c>
      <c r="B6" s="769" t="s">
        <v>339</v>
      </c>
      <c r="D6" s="767" t="s">
        <v>344</v>
      </c>
      <c r="E6" s="875">
        <v>97</v>
      </c>
      <c r="F6" s="875">
        <v>84</v>
      </c>
      <c r="G6" s="875">
        <v>28</v>
      </c>
      <c r="H6" s="768">
        <f t="shared" ref="H6:H10" si="0">F6+G6</f>
        <v>112</v>
      </c>
      <c r="I6" s="876"/>
      <c r="K6" s="877" t="s">
        <v>344</v>
      </c>
      <c r="L6" s="881">
        <v>550</v>
      </c>
      <c r="M6" s="772"/>
      <c r="N6" s="881">
        <v>650</v>
      </c>
      <c r="O6" s="879"/>
      <c r="P6" s="880"/>
    </row>
    <row r="7" spans="1:16" ht="15.4">
      <c r="A7" s="882">
        <v>0.3</v>
      </c>
      <c r="B7" s="762" t="s">
        <v>514</v>
      </c>
      <c r="D7" s="767" t="s">
        <v>346</v>
      </c>
      <c r="E7" s="875">
        <v>128</v>
      </c>
      <c r="F7" s="875">
        <v>109</v>
      </c>
      <c r="G7" s="875">
        <v>33</v>
      </c>
      <c r="H7" s="768">
        <f t="shared" si="0"/>
        <v>142</v>
      </c>
      <c r="I7" s="876"/>
      <c r="K7" s="877" t="s">
        <v>346</v>
      </c>
      <c r="L7" s="881">
        <v>725</v>
      </c>
      <c r="M7" s="772"/>
      <c r="N7" s="881">
        <v>800</v>
      </c>
      <c r="O7" s="879"/>
      <c r="P7" s="880"/>
    </row>
    <row r="8" spans="1:16" ht="15.4">
      <c r="D8" s="767" t="s">
        <v>348</v>
      </c>
      <c r="E8" s="875">
        <v>159</v>
      </c>
      <c r="F8" s="875">
        <v>134</v>
      </c>
      <c r="G8" s="875">
        <v>37</v>
      </c>
      <c r="H8" s="768">
        <f t="shared" si="0"/>
        <v>171</v>
      </c>
      <c r="I8" s="876"/>
      <c r="K8" s="877" t="s">
        <v>348</v>
      </c>
      <c r="L8" s="881">
        <v>950</v>
      </c>
      <c r="M8" s="772"/>
      <c r="N8" s="881">
        <v>1000</v>
      </c>
      <c r="O8" s="879"/>
      <c r="P8" s="880"/>
    </row>
    <row r="9" spans="1:16" ht="15.4">
      <c r="D9" s="767" t="s">
        <v>515</v>
      </c>
      <c r="E9" s="875">
        <v>191</v>
      </c>
      <c r="F9" s="875">
        <v>160</v>
      </c>
      <c r="G9" s="875">
        <v>42</v>
      </c>
      <c r="H9" s="768">
        <f t="shared" si="0"/>
        <v>202</v>
      </c>
      <c r="I9" s="876"/>
      <c r="K9" s="877" t="s">
        <v>515</v>
      </c>
      <c r="L9" s="883">
        <v>1075</v>
      </c>
      <c r="M9" s="772"/>
      <c r="N9" s="883">
        <v>1250</v>
      </c>
      <c r="O9" s="879"/>
      <c r="P9" s="880"/>
    </row>
    <row r="10" spans="1:16" ht="15.4">
      <c r="A10" s="884"/>
      <c r="B10" s="885"/>
      <c r="D10" s="767" t="s">
        <v>516</v>
      </c>
      <c r="E10" s="875">
        <v>223</v>
      </c>
      <c r="F10" s="875">
        <v>186</v>
      </c>
      <c r="G10" s="875">
        <v>46</v>
      </c>
      <c r="H10" s="768">
        <f t="shared" si="0"/>
        <v>232</v>
      </c>
      <c r="I10" s="876"/>
      <c r="K10" s="886"/>
      <c r="L10" s="887"/>
      <c r="M10" s="888"/>
      <c r="N10" s="889"/>
      <c r="O10" s="890"/>
      <c r="P10" s="865"/>
    </row>
    <row r="11" spans="1:16" ht="14.25" customHeight="1">
      <c r="E11" s="762"/>
      <c r="F11" s="762"/>
      <c r="G11" s="762"/>
      <c r="N11" s="865"/>
      <c r="O11" s="865"/>
      <c r="P11" s="865"/>
    </row>
    <row r="12" spans="1:16" ht="23.25" customHeight="1">
      <c r="D12" s="767" t="s">
        <v>517</v>
      </c>
      <c r="E12" s="771">
        <v>45292</v>
      </c>
      <c r="F12" s="764" t="s">
        <v>518</v>
      </c>
      <c r="N12" s="865"/>
      <c r="O12" s="865"/>
      <c r="P12" s="865"/>
    </row>
    <row r="13" spans="1:16" ht="18" customHeight="1">
      <c r="D13" s="767"/>
      <c r="E13" s="762"/>
      <c r="F13" s="764"/>
    </row>
    <row r="14" spans="1:16" ht="15.4" thickBot="1">
      <c r="A14" s="932" t="s">
        <v>519</v>
      </c>
      <c r="B14" s="932"/>
      <c r="C14" s="932"/>
      <c r="E14" s="762"/>
      <c r="F14" s="762"/>
      <c r="G14" s="762"/>
      <c r="P14" s="933" t="s">
        <v>565</v>
      </c>
    </row>
    <row r="15" spans="1:16" ht="22.5" customHeight="1" thickBot="1">
      <c r="A15" s="934" t="s">
        <v>520</v>
      </c>
      <c r="B15" s="935"/>
      <c r="C15" s="936"/>
      <c r="E15" s="762"/>
      <c r="F15" s="762"/>
      <c r="G15" s="762"/>
      <c r="P15" s="933"/>
    </row>
    <row r="16" spans="1:16" ht="15.75" customHeight="1">
      <c r="A16" s="891" t="s">
        <v>521</v>
      </c>
      <c r="E16" s="762"/>
      <c r="F16" s="762"/>
      <c r="G16" s="762"/>
      <c r="P16" s="933"/>
    </row>
    <row r="17" spans="1:19">
      <c r="A17" s="761"/>
      <c r="F17" s="764"/>
      <c r="P17" s="933"/>
    </row>
    <row r="18" spans="1:19">
      <c r="A18" s="770">
        <v>0.27</v>
      </c>
      <c r="B18" s="773" t="s">
        <v>522</v>
      </c>
      <c r="C18" s="768">
        <f>IF($A$18=50%,CEILING(MROUND(MROUND($A$5*50%,50)*$A$18/50%,50)*O24,50),CEILING(MROUND($A$5*50%,50)*O24,50)*$A$18/50%)</f>
        <v>41931</v>
      </c>
      <c r="D18" s="774" t="s">
        <v>513</v>
      </c>
      <c r="E18" s="765"/>
      <c r="F18" s="765"/>
      <c r="G18" s="765"/>
      <c r="H18" s="765"/>
      <c r="I18" s="765"/>
      <c r="J18" s="765"/>
      <c r="K18" s="765"/>
      <c r="L18" s="765"/>
      <c r="M18" s="765"/>
      <c r="N18" s="765"/>
      <c r="O18" s="765"/>
    </row>
    <row r="19" spans="1:19">
      <c r="E19" s="775" t="s">
        <v>523</v>
      </c>
      <c r="F19" s="775" t="s">
        <v>523</v>
      </c>
      <c r="G19" s="775" t="s">
        <v>523</v>
      </c>
      <c r="H19" s="775" t="s">
        <v>523</v>
      </c>
      <c r="I19" s="775" t="s">
        <v>523</v>
      </c>
      <c r="K19" s="917" t="s">
        <v>566</v>
      </c>
      <c r="L19" s="918"/>
      <c r="N19" s="776"/>
      <c r="O19" s="777"/>
      <c r="P19" s="778" t="s">
        <v>161</v>
      </c>
    </row>
    <row r="20" spans="1:19">
      <c r="A20" s="779"/>
      <c r="B20" s="780"/>
      <c r="C20" s="780"/>
      <c r="D20" s="780"/>
      <c r="E20" s="919" t="s">
        <v>496</v>
      </c>
      <c r="F20" s="922" t="s">
        <v>524</v>
      </c>
      <c r="G20" s="922" t="s">
        <v>510</v>
      </c>
      <c r="H20" s="923" t="s">
        <v>525</v>
      </c>
      <c r="I20" s="926" t="s">
        <v>526</v>
      </c>
      <c r="J20" s="763"/>
      <c r="K20" s="926" t="s">
        <v>567</v>
      </c>
      <c r="L20" s="926" t="s">
        <v>568</v>
      </c>
      <c r="M20" s="763"/>
      <c r="N20" s="781" t="s">
        <v>527</v>
      </c>
      <c r="O20" s="782" t="s">
        <v>528</v>
      </c>
      <c r="P20" s="783" t="s">
        <v>529</v>
      </c>
    </row>
    <row r="21" spans="1:19">
      <c r="A21" s="784"/>
      <c r="B21" s="785"/>
      <c r="C21" s="785"/>
      <c r="D21" s="786" t="s">
        <v>161</v>
      </c>
      <c r="E21" s="920"/>
      <c r="F21" s="922"/>
      <c r="G21" s="922"/>
      <c r="H21" s="924"/>
      <c r="I21" s="927"/>
      <c r="J21" s="787"/>
      <c r="K21" s="927"/>
      <c r="L21" s="927"/>
      <c r="M21" s="787"/>
      <c r="N21" s="788">
        <f t="shared" ref="N21:N26" si="1">N22-1</f>
        <v>1</v>
      </c>
      <c r="O21" s="789">
        <v>0.7</v>
      </c>
      <c r="P21" s="768">
        <f t="shared" ref="P21:P28" si="2">IF($A$18=50%,CEILING(MROUND(MROUND($A$5*50%,50)*$A$18/50%,50)*O21,50),CEILING(MROUND($A$5*50%,50)*O21,50)*$A$18/50%)</f>
        <v>29376.000000000004</v>
      </c>
    </row>
    <row r="22" spans="1:19" ht="16.5" customHeight="1">
      <c r="A22" s="892"/>
      <c r="B22" s="790" t="s">
        <v>349</v>
      </c>
      <c r="C22" s="791" t="s">
        <v>350</v>
      </c>
      <c r="D22" s="792" t="s">
        <v>529</v>
      </c>
      <c r="E22" s="921"/>
      <c r="F22" s="922"/>
      <c r="G22" s="922"/>
      <c r="H22" s="925"/>
      <c r="I22" s="928"/>
      <c r="J22" s="793"/>
      <c r="K22" s="928"/>
      <c r="L22" s="928"/>
      <c r="M22" s="793"/>
      <c r="N22" s="788">
        <f t="shared" si="1"/>
        <v>2</v>
      </c>
      <c r="O22" s="789">
        <f>O21+0.1</f>
        <v>0.79999999999999993</v>
      </c>
      <c r="P22" s="768">
        <f t="shared" si="2"/>
        <v>33561</v>
      </c>
    </row>
    <row r="23" spans="1:19">
      <c r="A23" s="788" t="s">
        <v>342</v>
      </c>
      <c r="B23" s="794">
        <v>1</v>
      </c>
      <c r="C23" s="795">
        <f>IF(AND(A18&lt;=60%,$A$15="New Construction/Special Needs"),0.6,(IF(AND(A18&lt;&gt;60%,$A$15="Preservation/Rehab"),0.7,(IF(AND(A18=60%,$A$15="Preservation/Rehab"),0.7,0.6)))))</f>
        <v>0.6</v>
      </c>
      <c r="D23" s="796">
        <f>IF($A$18=50%,CEILING(MROUND(MROUND($A$5*50%,50)*$A$18/50%,50)*C23,50),CEILING(MROUND($A$5*50%,50)*C23,50)*$A$18/50%)</f>
        <v>25164</v>
      </c>
      <c r="E23" s="768">
        <f>ROUNDDOWN(D23*$A$7/12,0)</f>
        <v>629</v>
      </c>
      <c r="F23" s="797">
        <f>E23-VLOOKUP(A23,$D$5:$H$10,3,FALSE)</f>
        <v>555</v>
      </c>
      <c r="G23" s="798">
        <f>E23-VLOOKUP(A23,$D$5:$G$10,2,FALSE)</f>
        <v>544</v>
      </c>
      <c r="H23" s="768">
        <f>E23-VLOOKUP(A23,$D$5:$H$10,4,FALSE)</f>
        <v>604</v>
      </c>
      <c r="I23" s="768">
        <f>E23-VLOOKUP(A23,$D$5:$H$10,5,FALSE)</f>
        <v>530</v>
      </c>
      <c r="J23" s="799"/>
      <c r="K23" s="893">
        <f>F23*12/L5</f>
        <v>16.649999999999999</v>
      </c>
      <c r="L23" s="893">
        <f>F23*12/N5</f>
        <v>13.32</v>
      </c>
      <c r="M23" s="799"/>
      <c r="N23" s="788">
        <f t="shared" si="1"/>
        <v>3</v>
      </c>
      <c r="O23" s="789">
        <f>O22+0.1</f>
        <v>0.89999999999999991</v>
      </c>
      <c r="P23" s="768">
        <f t="shared" si="2"/>
        <v>37746</v>
      </c>
    </row>
    <row r="24" spans="1:19">
      <c r="A24" s="788" t="s">
        <v>344</v>
      </c>
      <c r="B24" s="794">
        <v>1.5</v>
      </c>
      <c r="C24" s="795">
        <v>0.75</v>
      </c>
      <c r="D24" s="796">
        <f>AVERAGE(P21:P22)</f>
        <v>31468.5</v>
      </c>
      <c r="E24" s="768">
        <f t="shared" ref="E24:E28" si="3">ROUNDDOWN(D24*$A$7/12,0)</f>
        <v>786</v>
      </c>
      <c r="F24" s="797">
        <f t="shared" ref="F24:F28" si="4">E24-VLOOKUP(A24,$D$5:$H$10,3,FALSE)</f>
        <v>702</v>
      </c>
      <c r="G24" s="798">
        <f t="shared" ref="G24:G28" si="5">E24-VLOOKUP(A24,$D$5:$G$10,2,FALSE)</f>
        <v>689</v>
      </c>
      <c r="H24" s="768">
        <f t="shared" ref="H24:H28" si="6">E24-VLOOKUP(A24,$D$5:$H$10,4,FALSE)</f>
        <v>758</v>
      </c>
      <c r="I24" s="768">
        <f t="shared" ref="I24:I28" si="7">E24-VLOOKUP(A24,$D$5:$H$10,5,FALSE)</f>
        <v>674</v>
      </c>
      <c r="J24" s="799"/>
      <c r="K24" s="893">
        <f t="shared" ref="K24:K27" si="8">F24*12/L6</f>
        <v>15.316363636363636</v>
      </c>
      <c r="L24" s="893">
        <f t="shared" ref="L24:L27" si="9">F24*12/N6</f>
        <v>12.96</v>
      </c>
      <c r="M24" s="799"/>
      <c r="N24" s="788">
        <f t="shared" si="1"/>
        <v>4</v>
      </c>
      <c r="O24" s="789">
        <f>O23+0.1</f>
        <v>0.99999999999999989</v>
      </c>
      <c r="P24" s="768">
        <f t="shared" si="2"/>
        <v>41931</v>
      </c>
      <c r="Q24" s="800"/>
      <c r="R24" s="800"/>
      <c r="S24" s="800"/>
    </row>
    <row r="25" spans="1:19">
      <c r="A25" s="788" t="s">
        <v>346</v>
      </c>
      <c r="B25" s="794">
        <v>3</v>
      </c>
      <c r="C25" s="795">
        <v>0.9</v>
      </c>
      <c r="D25" s="796">
        <f>IF($A$18=50%,CEILING(MROUND(MROUND($A$5*50%,50)*$A$18/50%,50)*C25,50),CEILING(MROUND($A$5*50%,50)*C25,50)*$A$18/50%)</f>
        <v>37746</v>
      </c>
      <c r="E25" s="768">
        <f t="shared" si="3"/>
        <v>943</v>
      </c>
      <c r="F25" s="797">
        <f t="shared" si="4"/>
        <v>834</v>
      </c>
      <c r="G25" s="798">
        <f t="shared" si="5"/>
        <v>815</v>
      </c>
      <c r="H25" s="768">
        <f t="shared" si="6"/>
        <v>910</v>
      </c>
      <c r="I25" s="768">
        <f t="shared" si="7"/>
        <v>801</v>
      </c>
      <c r="J25" s="799"/>
      <c r="K25" s="893">
        <f t="shared" si="8"/>
        <v>13.804137931034482</v>
      </c>
      <c r="L25" s="893">
        <f t="shared" si="9"/>
        <v>12.51</v>
      </c>
      <c r="M25" s="799"/>
      <c r="N25" s="788">
        <f t="shared" si="1"/>
        <v>5</v>
      </c>
      <c r="O25" s="789">
        <f>O24+0.08</f>
        <v>1.0799999999999998</v>
      </c>
      <c r="P25" s="768">
        <f t="shared" si="2"/>
        <v>45306</v>
      </c>
      <c r="Q25" s="800"/>
      <c r="R25" s="800"/>
      <c r="S25" s="800"/>
    </row>
    <row r="26" spans="1:19">
      <c r="A26" s="788" t="s">
        <v>348</v>
      </c>
      <c r="B26" s="794">
        <v>4.5</v>
      </c>
      <c r="C26" s="795">
        <v>1.04</v>
      </c>
      <c r="D26" s="796">
        <f>AVERAGE(P24:P25)</f>
        <v>43618.5</v>
      </c>
      <c r="E26" s="768">
        <f t="shared" si="3"/>
        <v>1090</v>
      </c>
      <c r="F26" s="797">
        <f t="shared" si="4"/>
        <v>956</v>
      </c>
      <c r="G26" s="798">
        <f t="shared" si="5"/>
        <v>931</v>
      </c>
      <c r="H26" s="768">
        <f t="shared" si="6"/>
        <v>1053</v>
      </c>
      <c r="I26" s="768">
        <f t="shared" si="7"/>
        <v>919</v>
      </c>
      <c r="J26" s="799"/>
      <c r="K26" s="893">
        <f t="shared" si="8"/>
        <v>12.07578947368421</v>
      </c>
      <c r="L26" s="893">
        <f t="shared" si="9"/>
        <v>11.472</v>
      </c>
      <c r="M26" s="799"/>
      <c r="N26" s="788">
        <f t="shared" si="1"/>
        <v>6</v>
      </c>
      <c r="O26" s="789">
        <f>O25+0.08</f>
        <v>1.1599999999999999</v>
      </c>
      <c r="P26" s="768">
        <f t="shared" si="2"/>
        <v>48654</v>
      </c>
      <c r="Q26" s="800"/>
      <c r="R26" s="800"/>
      <c r="S26" s="800"/>
    </row>
    <row r="27" spans="1:19">
      <c r="A27" s="788" t="s">
        <v>515</v>
      </c>
      <c r="B27" s="794">
        <v>6</v>
      </c>
      <c r="C27" s="795">
        <v>1.1599999999999999</v>
      </c>
      <c r="D27" s="796">
        <f>IF($A$18=50%,CEILING(MROUND(MROUND($A$5*50%,50)*$A$18/50%,50)*C27,50),CEILING(MROUND($A$5*50%,50)*C27,50)*$A$18/50%)</f>
        <v>48654</v>
      </c>
      <c r="E27" s="768">
        <f t="shared" si="3"/>
        <v>1216</v>
      </c>
      <c r="F27" s="797">
        <f t="shared" si="4"/>
        <v>1056</v>
      </c>
      <c r="G27" s="798">
        <f t="shared" si="5"/>
        <v>1025</v>
      </c>
      <c r="H27" s="768">
        <f t="shared" si="6"/>
        <v>1174</v>
      </c>
      <c r="I27" s="768">
        <f t="shared" si="7"/>
        <v>1014</v>
      </c>
      <c r="J27" s="799"/>
      <c r="K27" s="893">
        <f t="shared" si="8"/>
        <v>11.787906976744186</v>
      </c>
      <c r="L27" s="893">
        <f t="shared" si="9"/>
        <v>10.137600000000001</v>
      </c>
      <c r="M27" s="799"/>
      <c r="N27" s="788">
        <f>N28-1</f>
        <v>7</v>
      </c>
      <c r="O27" s="789">
        <f>O26+0.08</f>
        <v>1.24</v>
      </c>
      <c r="P27" s="768">
        <f t="shared" si="2"/>
        <v>52002</v>
      </c>
    </row>
    <row r="28" spans="1:19">
      <c r="A28" s="788" t="s">
        <v>516</v>
      </c>
      <c r="B28" s="794">
        <v>7.5</v>
      </c>
      <c r="C28" s="795">
        <f>1.28</f>
        <v>1.28</v>
      </c>
      <c r="D28" s="796">
        <f>AVERAGE(P27:P28)</f>
        <v>53676</v>
      </c>
      <c r="E28" s="768">
        <f t="shared" si="3"/>
        <v>1341</v>
      </c>
      <c r="F28" s="797">
        <f t="shared" si="4"/>
        <v>1155</v>
      </c>
      <c r="G28" s="798">
        <f t="shared" si="5"/>
        <v>1118</v>
      </c>
      <c r="H28" s="768">
        <f t="shared" si="6"/>
        <v>1295</v>
      </c>
      <c r="I28" s="768">
        <f t="shared" si="7"/>
        <v>1109</v>
      </c>
      <c r="J28" s="799"/>
      <c r="K28" s="768" t="s">
        <v>569</v>
      </c>
      <c r="L28" s="768" t="s">
        <v>569</v>
      </c>
      <c r="M28" s="799"/>
      <c r="N28" s="788">
        <v>8</v>
      </c>
      <c r="O28" s="789">
        <f>O27+0.08</f>
        <v>1.32</v>
      </c>
      <c r="P28" s="768">
        <f t="shared" si="2"/>
        <v>55350.000000000007</v>
      </c>
    </row>
    <row r="29" spans="1:19">
      <c r="A29" s="761"/>
      <c r="F29" s="764"/>
    </row>
    <row r="30" spans="1:19">
      <c r="A30" s="770">
        <v>0.37</v>
      </c>
      <c r="B30" s="773" t="s">
        <v>522</v>
      </c>
      <c r="C30" s="768">
        <f>IF($A$30=50%,CEILING(MROUND(MROUND($A$5*50%,50)*$A$30/50%,50)*O36,50),CEILING(MROUND($A$5*50%,50)*O36,50)*$A$30/50%)</f>
        <v>57461</v>
      </c>
      <c r="D30" s="774" t="s">
        <v>513</v>
      </c>
      <c r="E30" s="765"/>
      <c r="F30" s="765"/>
      <c r="G30" s="765"/>
      <c r="H30" s="765"/>
      <c r="I30" s="765"/>
      <c r="J30" s="765"/>
      <c r="K30" s="765"/>
      <c r="L30" s="765"/>
      <c r="M30" s="765"/>
      <c r="N30" s="765"/>
      <c r="O30" s="765"/>
    </row>
    <row r="31" spans="1:19">
      <c r="E31" s="775" t="s">
        <v>523</v>
      </c>
      <c r="F31" s="775" t="s">
        <v>523</v>
      </c>
      <c r="G31" s="775" t="s">
        <v>523</v>
      </c>
      <c r="H31" s="775" t="s">
        <v>523</v>
      </c>
      <c r="I31" s="775" t="s">
        <v>523</v>
      </c>
      <c r="K31" s="917" t="s">
        <v>566</v>
      </c>
      <c r="L31" s="918"/>
      <c r="N31" s="776"/>
      <c r="O31" s="777"/>
      <c r="P31" s="778" t="s">
        <v>161</v>
      </c>
    </row>
    <row r="32" spans="1:19" ht="15.75" customHeight="1">
      <c r="A32" s="779"/>
      <c r="B32" s="780"/>
      <c r="C32" s="780"/>
      <c r="D32" s="780"/>
      <c r="E32" s="919" t="s">
        <v>496</v>
      </c>
      <c r="F32" s="922" t="s">
        <v>524</v>
      </c>
      <c r="G32" s="922" t="s">
        <v>510</v>
      </c>
      <c r="H32" s="923" t="s">
        <v>525</v>
      </c>
      <c r="I32" s="926" t="s">
        <v>526</v>
      </c>
      <c r="J32" s="763"/>
      <c r="K32" s="926" t="s">
        <v>567</v>
      </c>
      <c r="L32" s="926" t="s">
        <v>568</v>
      </c>
      <c r="M32" s="763"/>
      <c r="N32" s="781" t="s">
        <v>527</v>
      </c>
      <c r="O32" s="782" t="s">
        <v>528</v>
      </c>
      <c r="P32" s="783" t="s">
        <v>529</v>
      </c>
    </row>
    <row r="33" spans="1:19">
      <c r="A33" s="784"/>
      <c r="B33" s="785"/>
      <c r="C33" s="785"/>
      <c r="D33" s="786" t="s">
        <v>161</v>
      </c>
      <c r="E33" s="920"/>
      <c r="F33" s="922"/>
      <c r="G33" s="922"/>
      <c r="H33" s="924"/>
      <c r="I33" s="927"/>
      <c r="J33" s="787"/>
      <c r="K33" s="927"/>
      <c r="L33" s="927"/>
      <c r="M33" s="787"/>
      <c r="N33" s="788">
        <f t="shared" ref="N33:N38" si="10">N34-1</f>
        <v>1</v>
      </c>
      <c r="O33" s="789">
        <v>0.7</v>
      </c>
      <c r="P33" s="768">
        <f t="shared" ref="P33:P40" si="11">IF($A$30=50%,CEILING(MROUND(MROUND($A$5*50%,50)*$A$30/50%,50)*O33,50),CEILING(MROUND($A$5*50%,50)*O33,50)*$A$30/50%)</f>
        <v>40256</v>
      </c>
    </row>
    <row r="34" spans="1:19">
      <c r="A34" s="892"/>
      <c r="B34" s="790" t="s">
        <v>349</v>
      </c>
      <c r="C34" s="791" t="s">
        <v>350</v>
      </c>
      <c r="D34" s="792" t="s">
        <v>529</v>
      </c>
      <c r="E34" s="921"/>
      <c r="F34" s="922"/>
      <c r="G34" s="922"/>
      <c r="H34" s="925"/>
      <c r="I34" s="928"/>
      <c r="J34" s="793"/>
      <c r="K34" s="928"/>
      <c r="L34" s="928"/>
      <c r="M34" s="793"/>
      <c r="N34" s="788">
        <f t="shared" si="10"/>
        <v>2</v>
      </c>
      <c r="O34" s="789">
        <f>O33+0.1</f>
        <v>0.79999999999999993</v>
      </c>
      <c r="P34" s="768">
        <f t="shared" si="11"/>
        <v>45991</v>
      </c>
    </row>
    <row r="35" spans="1:19">
      <c r="A35" s="788" t="s">
        <v>342</v>
      </c>
      <c r="B35" s="794">
        <v>1</v>
      </c>
      <c r="C35" s="795">
        <f>IF(AND(A30&lt;=60%,$A$15="New Construction/Special Needs"),0.6,(IF(AND(A30&lt;&gt;60%,$A$15="Preservation/Rehab"),0.7,(IF(AND(A30=60%,$A$15="Preservation/Rehab"),0.7,0.6)))))</f>
        <v>0.6</v>
      </c>
      <c r="D35" s="796">
        <f>IF($A$30=50%,CEILING(MROUND(MROUND($A$5*50%,50)*$A$30/50%,50)*C35,50),CEILING(MROUND($A$5*50%,50)*C35,50)*$A$30/50%)</f>
        <v>34484</v>
      </c>
      <c r="E35" s="768">
        <f t="shared" ref="E35:E40" si="12">ROUNDDOWN(D35*$A$7/12,0)</f>
        <v>862</v>
      </c>
      <c r="F35" s="797">
        <f>E35-VLOOKUP(A35,$D$5:$H$10,3,FALSE)</f>
        <v>788</v>
      </c>
      <c r="G35" s="798">
        <f>E35-VLOOKUP(A35,$D$5:$G$10,2,FALSE)</f>
        <v>777</v>
      </c>
      <c r="H35" s="768">
        <f>E35-VLOOKUP(A35,$D$5:$H$10,4,FALSE)</f>
        <v>837</v>
      </c>
      <c r="I35" s="768">
        <f>E35-VLOOKUP(A35,$D$5:$H$10,5,FALSE)</f>
        <v>763</v>
      </c>
      <c r="J35" s="799"/>
      <c r="K35" s="893">
        <f>F35*12/L5</f>
        <v>23.64</v>
      </c>
      <c r="L35" s="893">
        <f>F35*12/N5</f>
        <v>18.911999999999999</v>
      </c>
      <c r="M35" s="799"/>
      <c r="N35" s="788">
        <f t="shared" si="10"/>
        <v>3</v>
      </c>
      <c r="O35" s="789">
        <f>O34+0.1</f>
        <v>0.89999999999999991</v>
      </c>
      <c r="P35" s="768">
        <f t="shared" si="11"/>
        <v>51726</v>
      </c>
    </row>
    <row r="36" spans="1:19">
      <c r="A36" s="788" t="s">
        <v>344</v>
      </c>
      <c r="B36" s="794">
        <v>1.5</v>
      </c>
      <c r="C36" s="795">
        <v>0.75</v>
      </c>
      <c r="D36" s="796">
        <f>AVERAGE(P33:P34)</f>
        <v>43123.5</v>
      </c>
      <c r="E36" s="768">
        <f t="shared" si="12"/>
        <v>1078</v>
      </c>
      <c r="F36" s="797">
        <f t="shared" ref="F36:F40" si="13">E36-VLOOKUP(A36,$D$5:$H$10,3,FALSE)</f>
        <v>994</v>
      </c>
      <c r="G36" s="798">
        <f t="shared" ref="G36:G40" si="14">E36-VLOOKUP(A36,$D$5:$G$10,2,FALSE)</f>
        <v>981</v>
      </c>
      <c r="H36" s="768">
        <f t="shared" ref="H36:H40" si="15">E36-VLOOKUP(A36,$D$5:$H$10,4,FALSE)</f>
        <v>1050</v>
      </c>
      <c r="I36" s="768">
        <f t="shared" ref="I36:I40" si="16">E36-VLOOKUP(A36,$D$5:$H$10,5,FALSE)</f>
        <v>966</v>
      </c>
      <c r="J36" s="799"/>
      <c r="K36" s="893">
        <f t="shared" ref="K36:K38" si="17">F36*12/L6</f>
        <v>21.687272727272727</v>
      </c>
      <c r="L36" s="893">
        <f t="shared" ref="L36:L39" si="18">F36*12/N6</f>
        <v>18.350769230769231</v>
      </c>
      <c r="M36" s="799"/>
      <c r="N36" s="788">
        <f t="shared" si="10"/>
        <v>4</v>
      </c>
      <c r="O36" s="789">
        <f>O35+0.1</f>
        <v>0.99999999999999989</v>
      </c>
      <c r="P36" s="768">
        <f t="shared" si="11"/>
        <v>57461</v>
      </c>
      <c r="Q36" s="800"/>
      <c r="R36" s="800"/>
      <c r="S36" s="800"/>
    </row>
    <row r="37" spans="1:19">
      <c r="A37" s="788" t="s">
        <v>346</v>
      </c>
      <c r="B37" s="794">
        <v>3</v>
      </c>
      <c r="C37" s="795">
        <v>0.9</v>
      </c>
      <c r="D37" s="796">
        <f>IF($A$30=50%,CEILING(MROUND(MROUND($A$5*50%,50)*$A$30/50%,50)*C37,50),CEILING(MROUND($A$5*50%,50)*C37,50)*$A$30/50%)</f>
        <v>51726</v>
      </c>
      <c r="E37" s="768">
        <f t="shared" si="12"/>
        <v>1293</v>
      </c>
      <c r="F37" s="797">
        <f t="shared" si="13"/>
        <v>1184</v>
      </c>
      <c r="G37" s="798">
        <f t="shared" si="14"/>
        <v>1165</v>
      </c>
      <c r="H37" s="768">
        <f t="shared" si="15"/>
        <v>1260</v>
      </c>
      <c r="I37" s="768">
        <f t="shared" si="16"/>
        <v>1151</v>
      </c>
      <c r="J37" s="799"/>
      <c r="K37" s="893">
        <f t="shared" si="17"/>
        <v>19.597241379310343</v>
      </c>
      <c r="L37" s="893">
        <f t="shared" si="18"/>
        <v>17.760000000000002</v>
      </c>
      <c r="M37" s="799"/>
      <c r="N37" s="788">
        <f t="shared" si="10"/>
        <v>5</v>
      </c>
      <c r="O37" s="789">
        <f>O36+0.08</f>
        <v>1.0799999999999998</v>
      </c>
      <c r="P37" s="768">
        <f t="shared" si="11"/>
        <v>62086</v>
      </c>
      <c r="Q37" s="800"/>
      <c r="R37" s="800"/>
      <c r="S37" s="800"/>
    </row>
    <row r="38" spans="1:19">
      <c r="A38" s="788" t="s">
        <v>348</v>
      </c>
      <c r="B38" s="794">
        <v>4.5</v>
      </c>
      <c r="C38" s="795">
        <v>1.04</v>
      </c>
      <c r="D38" s="796">
        <f>AVERAGE(P36:P37)</f>
        <v>59773.5</v>
      </c>
      <c r="E38" s="768">
        <f t="shared" si="12"/>
        <v>1494</v>
      </c>
      <c r="F38" s="797">
        <f t="shared" si="13"/>
        <v>1360</v>
      </c>
      <c r="G38" s="798">
        <f t="shared" si="14"/>
        <v>1335</v>
      </c>
      <c r="H38" s="768">
        <f t="shared" si="15"/>
        <v>1457</v>
      </c>
      <c r="I38" s="768">
        <f t="shared" si="16"/>
        <v>1323</v>
      </c>
      <c r="J38" s="799"/>
      <c r="K38" s="893">
        <f t="shared" si="17"/>
        <v>17.178947368421053</v>
      </c>
      <c r="L38" s="893">
        <f t="shared" si="18"/>
        <v>16.32</v>
      </c>
      <c r="M38" s="799"/>
      <c r="N38" s="788">
        <f t="shared" si="10"/>
        <v>6</v>
      </c>
      <c r="O38" s="789">
        <f>O37+0.08</f>
        <v>1.1599999999999999</v>
      </c>
      <c r="P38" s="768">
        <f t="shared" si="11"/>
        <v>66674</v>
      </c>
      <c r="Q38" s="800"/>
      <c r="R38" s="800"/>
      <c r="S38" s="800"/>
    </row>
    <row r="39" spans="1:19">
      <c r="A39" s="788" t="s">
        <v>515</v>
      </c>
      <c r="B39" s="794">
        <v>6</v>
      </c>
      <c r="C39" s="795">
        <v>1.1599999999999999</v>
      </c>
      <c r="D39" s="796">
        <f>IF($A$30=50%,CEILING(MROUND(MROUND($A$5*50%,50)*$A$30/50%,50)*C39,50),CEILING(MROUND($A$5*50%,50)*C39,50)*$A$30/50%)</f>
        <v>66674</v>
      </c>
      <c r="E39" s="768">
        <f t="shared" si="12"/>
        <v>1666</v>
      </c>
      <c r="F39" s="797">
        <f t="shared" si="13"/>
        <v>1506</v>
      </c>
      <c r="G39" s="798">
        <f t="shared" si="14"/>
        <v>1475</v>
      </c>
      <c r="H39" s="768">
        <f t="shared" si="15"/>
        <v>1624</v>
      </c>
      <c r="I39" s="768">
        <f t="shared" si="16"/>
        <v>1464</v>
      </c>
      <c r="J39" s="799"/>
      <c r="K39" s="893">
        <f>F39*12/L9</f>
        <v>16.811162790697676</v>
      </c>
      <c r="L39" s="893">
        <f t="shared" si="18"/>
        <v>14.457599999999999</v>
      </c>
      <c r="M39" s="799"/>
      <c r="N39" s="788">
        <f>N40-1</f>
        <v>7</v>
      </c>
      <c r="O39" s="789">
        <f>O38+0.08</f>
        <v>1.24</v>
      </c>
      <c r="P39" s="768">
        <f t="shared" si="11"/>
        <v>71262</v>
      </c>
    </row>
    <row r="40" spans="1:19">
      <c r="A40" s="788" t="s">
        <v>516</v>
      </c>
      <c r="B40" s="794">
        <v>7.5</v>
      </c>
      <c r="C40" s="795">
        <f>1.28</f>
        <v>1.28</v>
      </c>
      <c r="D40" s="796">
        <f>AVERAGE(P39:P40)</f>
        <v>73556</v>
      </c>
      <c r="E40" s="768">
        <f t="shared" si="12"/>
        <v>1838</v>
      </c>
      <c r="F40" s="797">
        <f t="shared" si="13"/>
        <v>1652</v>
      </c>
      <c r="G40" s="798">
        <f t="shared" si="14"/>
        <v>1615</v>
      </c>
      <c r="H40" s="768">
        <f t="shared" si="15"/>
        <v>1792</v>
      </c>
      <c r="I40" s="768">
        <f t="shared" si="16"/>
        <v>1606</v>
      </c>
      <c r="J40" s="799"/>
      <c r="K40" s="768" t="s">
        <v>569</v>
      </c>
      <c r="L40" s="768" t="s">
        <v>569</v>
      </c>
      <c r="M40" s="799"/>
      <c r="N40" s="788">
        <v>8</v>
      </c>
      <c r="O40" s="789">
        <f>O39+0.08</f>
        <v>1.32</v>
      </c>
      <c r="P40" s="768">
        <f t="shared" si="11"/>
        <v>75850</v>
      </c>
    </row>
    <row r="41" spans="1:19">
      <c r="D41" s="801"/>
    </row>
    <row r="42" spans="1:19">
      <c r="D42" s="801"/>
    </row>
    <row r="43" spans="1:19">
      <c r="A43" s="770">
        <v>0.47</v>
      </c>
      <c r="B43" s="773" t="s">
        <v>522</v>
      </c>
      <c r="C43" s="768">
        <f>IF($A$43=50%,CEILING(MROUND(MROUND($A$5*50%,50)*$A$43/50%,50)*O49,50),CEILING(MROUND($A$5*50%,50)*O49,50)*$A$43/50%)</f>
        <v>72991</v>
      </c>
      <c r="D43" s="774" t="s">
        <v>513</v>
      </c>
      <c r="E43" s="765"/>
      <c r="F43" s="765"/>
      <c r="G43" s="765"/>
      <c r="H43" s="765"/>
      <c r="I43" s="765"/>
      <c r="J43" s="765"/>
      <c r="K43" s="765"/>
      <c r="L43" s="765"/>
      <c r="M43" s="765"/>
      <c r="N43" s="765"/>
      <c r="O43" s="765"/>
    </row>
    <row r="44" spans="1:19">
      <c r="E44" s="775" t="s">
        <v>523</v>
      </c>
      <c r="F44" s="775" t="s">
        <v>523</v>
      </c>
      <c r="G44" s="775" t="s">
        <v>523</v>
      </c>
      <c r="H44" s="775" t="s">
        <v>523</v>
      </c>
      <c r="I44" s="775" t="s">
        <v>523</v>
      </c>
      <c r="K44" s="917" t="s">
        <v>566</v>
      </c>
      <c r="L44" s="918"/>
      <c r="N44" s="776"/>
      <c r="O44" s="777"/>
      <c r="P44" s="778" t="s">
        <v>161</v>
      </c>
    </row>
    <row r="45" spans="1:19" ht="15.75" customHeight="1">
      <c r="A45" s="779"/>
      <c r="B45" s="780"/>
      <c r="C45" s="780"/>
      <c r="D45" s="780"/>
      <c r="E45" s="919" t="s">
        <v>496</v>
      </c>
      <c r="F45" s="922" t="s">
        <v>524</v>
      </c>
      <c r="G45" s="922" t="s">
        <v>510</v>
      </c>
      <c r="H45" s="923" t="s">
        <v>525</v>
      </c>
      <c r="I45" s="926" t="s">
        <v>526</v>
      </c>
      <c r="J45" s="763"/>
      <c r="K45" s="926" t="s">
        <v>567</v>
      </c>
      <c r="L45" s="926" t="s">
        <v>568</v>
      </c>
      <c r="M45" s="763"/>
      <c r="N45" s="781" t="s">
        <v>527</v>
      </c>
      <c r="O45" s="782" t="s">
        <v>528</v>
      </c>
      <c r="P45" s="783" t="s">
        <v>529</v>
      </c>
    </row>
    <row r="46" spans="1:19">
      <c r="A46" s="784"/>
      <c r="B46" s="785"/>
      <c r="C46" s="785"/>
      <c r="D46" s="786" t="s">
        <v>161</v>
      </c>
      <c r="E46" s="920"/>
      <c r="F46" s="922"/>
      <c r="G46" s="922"/>
      <c r="H46" s="924"/>
      <c r="I46" s="927"/>
      <c r="J46" s="787"/>
      <c r="K46" s="927"/>
      <c r="L46" s="927"/>
      <c r="M46" s="787"/>
      <c r="N46" s="788">
        <f t="shared" ref="N46:N51" si="19">N47-1</f>
        <v>1</v>
      </c>
      <c r="O46" s="789">
        <v>0.7</v>
      </c>
      <c r="P46" s="768">
        <f t="shared" ref="P46:P53" si="20">IF($A$43=50%,CEILING(MROUND(MROUND($A$5*50%,50)*$A$43/50%,50)*O46,50),CEILING(MROUND($A$5*50%,50)*O46,50)*$A$43/50%)</f>
        <v>51136</v>
      </c>
    </row>
    <row r="47" spans="1:19">
      <c r="A47" s="892"/>
      <c r="B47" s="790" t="s">
        <v>349</v>
      </c>
      <c r="C47" s="791" t="s">
        <v>350</v>
      </c>
      <c r="D47" s="792" t="s">
        <v>529</v>
      </c>
      <c r="E47" s="921"/>
      <c r="F47" s="922"/>
      <c r="G47" s="922"/>
      <c r="H47" s="925"/>
      <c r="I47" s="928"/>
      <c r="J47" s="793"/>
      <c r="K47" s="928"/>
      <c r="L47" s="928"/>
      <c r="M47" s="793"/>
      <c r="N47" s="788">
        <f t="shared" si="19"/>
        <v>2</v>
      </c>
      <c r="O47" s="789">
        <f>O46+0.1</f>
        <v>0.79999999999999993</v>
      </c>
      <c r="P47" s="768">
        <f t="shared" si="20"/>
        <v>58421</v>
      </c>
    </row>
    <row r="48" spans="1:19">
      <c r="A48" s="788" t="s">
        <v>342</v>
      </c>
      <c r="B48" s="794">
        <v>1</v>
      </c>
      <c r="C48" s="795">
        <f>IF(AND(A43&lt;=60%,$A$15="New Construction/Special Needs"),0.6,(IF(AND(A43&lt;&gt;60%,$A$15="Preservation/Rehab"),0.7,(IF(AND(A43=60%,$A$15="Preservation/Rehab"),0.7,0.6)))))</f>
        <v>0.6</v>
      </c>
      <c r="D48" s="796">
        <f>IF($A$43=50%,CEILING(MROUND(MROUND($A$5*50%,50)*$A$43/50%,50)*C48,50),CEILING(MROUND($A$5*50%,50)*C48,50)*$A$43/50%)</f>
        <v>43804</v>
      </c>
      <c r="E48" s="768">
        <f t="shared" ref="E48:E53" si="21">ROUNDDOWN(D48*$A$7/12,0)</f>
        <v>1095</v>
      </c>
      <c r="F48" s="797">
        <f>E48-VLOOKUP(A48,$D$5:$H$10,3,FALSE)</f>
        <v>1021</v>
      </c>
      <c r="G48" s="798">
        <f>E48-VLOOKUP(A48,$D$5:$G$10,2,FALSE)</f>
        <v>1010</v>
      </c>
      <c r="H48" s="768">
        <f>E48-VLOOKUP(A48,$D$5:$H$10,4,FALSE)</f>
        <v>1070</v>
      </c>
      <c r="I48" s="768">
        <f>E48-VLOOKUP(A48,$D$5:$H$10,5,FALSE)</f>
        <v>996</v>
      </c>
      <c r="J48" s="799"/>
      <c r="K48" s="893">
        <f>F48*12/L5</f>
        <v>30.63</v>
      </c>
      <c r="L48" s="893">
        <f>F48*12/N5</f>
        <v>24.504000000000001</v>
      </c>
      <c r="M48" s="799"/>
      <c r="N48" s="788">
        <f t="shared" si="19"/>
        <v>3</v>
      </c>
      <c r="O48" s="789">
        <f>O47+0.1</f>
        <v>0.89999999999999991</v>
      </c>
      <c r="P48" s="768">
        <f t="shared" si="20"/>
        <v>65706</v>
      </c>
    </row>
    <row r="49" spans="1:16">
      <c r="A49" s="788" t="s">
        <v>344</v>
      </c>
      <c r="B49" s="794">
        <v>1.5</v>
      </c>
      <c r="C49" s="795">
        <v>0.75</v>
      </c>
      <c r="D49" s="796">
        <f>AVERAGE(P46:P47)</f>
        <v>54778.5</v>
      </c>
      <c r="E49" s="768">
        <f t="shared" si="21"/>
        <v>1369</v>
      </c>
      <c r="F49" s="797">
        <f t="shared" ref="F49:F53" si="22">E49-VLOOKUP(A49,$D$5:$H$10,3,FALSE)</f>
        <v>1285</v>
      </c>
      <c r="G49" s="798">
        <f t="shared" ref="G49:G53" si="23">E49-VLOOKUP(A49,$D$5:$G$10,2,FALSE)</f>
        <v>1272</v>
      </c>
      <c r="H49" s="768">
        <f t="shared" ref="H49:H53" si="24">E49-VLOOKUP(A49,$D$5:$H$10,4,FALSE)</f>
        <v>1341</v>
      </c>
      <c r="I49" s="768">
        <f t="shared" ref="I49:I53" si="25">E49-VLOOKUP(A49,$D$5:$H$10,5,FALSE)</f>
        <v>1257</v>
      </c>
      <c r="J49" s="799"/>
      <c r="K49" s="893">
        <f t="shared" ref="K49:K52" si="26">F49*12/L6</f>
        <v>28.036363636363635</v>
      </c>
      <c r="L49" s="893">
        <f t="shared" ref="L49:L52" si="27">F49*12/N6</f>
        <v>23.723076923076924</v>
      </c>
      <c r="M49" s="799"/>
      <c r="N49" s="788">
        <f t="shared" si="19"/>
        <v>4</v>
      </c>
      <c r="O49" s="789">
        <f>O48+0.1</f>
        <v>0.99999999999999989</v>
      </c>
      <c r="P49" s="768">
        <f t="shared" si="20"/>
        <v>72991</v>
      </c>
    </row>
    <row r="50" spans="1:16">
      <c r="A50" s="788" t="s">
        <v>346</v>
      </c>
      <c r="B50" s="794">
        <v>3</v>
      </c>
      <c r="C50" s="795">
        <v>0.9</v>
      </c>
      <c r="D50" s="796">
        <f>IF($A$43=50%,CEILING(MROUND(MROUND($A$5*50%,50)*$A$43/50%,50)*C50,50),CEILING(MROUND($A$5*50%,50)*C50,50)*$A$43/50%)</f>
        <v>65706</v>
      </c>
      <c r="E50" s="768">
        <f t="shared" si="21"/>
        <v>1642</v>
      </c>
      <c r="F50" s="797">
        <f t="shared" si="22"/>
        <v>1533</v>
      </c>
      <c r="G50" s="798">
        <f t="shared" si="23"/>
        <v>1514</v>
      </c>
      <c r="H50" s="768">
        <f t="shared" si="24"/>
        <v>1609</v>
      </c>
      <c r="I50" s="768">
        <f t="shared" si="25"/>
        <v>1500</v>
      </c>
      <c r="J50" s="799"/>
      <c r="K50" s="893">
        <f t="shared" si="26"/>
        <v>25.373793103448275</v>
      </c>
      <c r="L50" s="893">
        <f t="shared" si="27"/>
        <v>22.995000000000001</v>
      </c>
      <c r="M50" s="799"/>
      <c r="N50" s="788">
        <f t="shared" si="19"/>
        <v>5</v>
      </c>
      <c r="O50" s="789">
        <f>O49+0.08</f>
        <v>1.0799999999999998</v>
      </c>
      <c r="P50" s="768">
        <f t="shared" si="20"/>
        <v>78866</v>
      </c>
    </row>
    <row r="51" spans="1:16">
      <c r="A51" s="788" t="s">
        <v>348</v>
      </c>
      <c r="B51" s="794">
        <v>4.5</v>
      </c>
      <c r="C51" s="795">
        <v>1.04</v>
      </c>
      <c r="D51" s="796">
        <f>AVERAGE(P49:P50)</f>
        <v>75928.5</v>
      </c>
      <c r="E51" s="768">
        <f t="shared" si="21"/>
        <v>1898</v>
      </c>
      <c r="F51" s="797">
        <f t="shared" si="22"/>
        <v>1764</v>
      </c>
      <c r="G51" s="798">
        <f t="shared" si="23"/>
        <v>1739</v>
      </c>
      <c r="H51" s="768">
        <f t="shared" si="24"/>
        <v>1861</v>
      </c>
      <c r="I51" s="768">
        <f t="shared" si="25"/>
        <v>1727</v>
      </c>
      <c r="J51" s="799"/>
      <c r="K51" s="893">
        <f t="shared" si="26"/>
        <v>22.282105263157895</v>
      </c>
      <c r="L51" s="893">
        <f t="shared" si="27"/>
        <v>21.167999999999999</v>
      </c>
      <c r="M51" s="799"/>
      <c r="N51" s="788">
        <f t="shared" si="19"/>
        <v>6</v>
      </c>
      <c r="O51" s="789">
        <f>O50+0.08</f>
        <v>1.1599999999999999</v>
      </c>
      <c r="P51" s="768">
        <f t="shared" si="20"/>
        <v>84694</v>
      </c>
    </row>
    <row r="52" spans="1:16">
      <c r="A52" s="788" t="s">
        <v>515</v>
      </c>
      <c r="B52" s="794">
        <v>6</v>
      </c>
      <c r="C52" s="795">
        <v>1.1599999999999999</v>
      </c>
      <c r="D52" s="796">
        <f>IF($A$43=50%,CEILING(MROUND(MROUND($A$5*50%,50)*$A$43/50%,50)*C52,50),CEILING(MROUND($A$5*50%,50)*C52,50)*$A$43/50%)</f>
        <v>84694</v>
      </c>
      <c r="E52" s="768">
        <f t="shared" si="21"/>
        <v>2117</v>
      </c>
      <c r="F52" s="797">
        <f t="shared" si="22"/>
        <v>1957</v>
      </c>
      <c r="G52" s="798">
        <f t="shared" si="23"/>
        <v>1926</v>
      </c>
      <c r="H52" s="768">
        <f t="shared" si="24"/>
        <v>2075</v>
      </c>
      <c r="I52" s="768">
        <f t="shared" si="25"/>
        <v>1915</v>
      </c>
      <c r="J52" s="799"/>
      <c r="K52" s="893">
        <f t="shared" si="26"/>
        <v>21.845581395348837</v>
      </c>
      <c r="L52" s="893">
        <f t="shared" si="27"/>
        <v>18.787199999999999</v>
      </c>
      <c r="M52" s="799"/>
      <c r="N52" s="788">
        <f>N53-1</f>
        <v>7</v>
      </c>
      <c r="O52" s="789">
        <f>O51+0.08</f>
        <v>1.24</v>
      </c>
      <c r="P52" s="768">
        <f t="shared" si="20"/>
        <v>90522</v>
      </c>
    </row>
    <row r="53" spans="1:16">
      <c r="A53" s="788" t="s">
        <v>516</v>
      </c>
      <c r="B53" s="794">
        <v>7.5</v>
      </c>
      <c r="C53" s="795">
        <f>1.28</f>
        <v>1.28</v>
      </c>
      <c r="D53" s="796">
        <f>AVERAGE(P52:P53)</f>
        <v>93436</v>
      </c>
      <c r="E53" s="768">
        <f t="shared" si="21"/>
        <v>2335</v>
      </c>
      <c r="F53" s="797">
        <f t="shared" si="22"/>
        <v>2149</v>
      </c>
      <c r="G53" s="798">
        <f t="shared" si="23"/>
        <v>2112</v>
      </c>
      <c r="H53" s="768">
        <f t="shared" si="24"/>
        <v>2289</v>
      </c>
      <c r="I53" s="768">
        <f t="shared" si="25"/>
        <v>2103</v>
      </c>
      <c r="J53" s="799"/>
      <c r="K53" s="768" t="s">
        <v>569</v>
      </c>
      <c r="L53" s="768" t="s">
        <v>569</v>
      </c>
      <c r="M53" s="799"/>
      <c r="N53" s="788">
        <v>8</v>
      </c>
      <c r="O53" s="789">
        <f>O52+0.08</f>
        <v>1.32</v>
      </c>
      <c r="P53" s="768">
        <f t="shared" si="20"/>
        <v>96350</v>
      </c>
    </row>
    <row r="56" spans="1:16">
      <c r="A56" s="770">
        <v>0.56999999999999995</v>
      </c>
      <c r="B56" s="773" t="s">
        <v>522</v>
      </c>
      <c r="C56" s="768">
        <f>IF($A$56=50%,CEILING(MROUND(MROUND($A$5*50%,50)*$A$56/50%,50)*O62,50),CEILING(MROUND($A$5*50%,50)*O62,50)*$A$56/50%)</f>
        <v>88520.999999999985</v>
      </c>
      <c r="D56" s="774" t="s">
        <v>513</v>
      </c>
      <c r="E56" s="765"/>
      <c r="F56" s="765"/>
      <c r="G56" s="765"/>
      <c r="H56" s="765"/>
      <c r="I56" s="765"/>
      <c r="J56" s="765"/>
      <c r="K56" s="765"/>
      <c r="L56" s="765"/>
      <c r="M56" s="765"/>
      <c r="N56" s="765"/>
      <c r="O56" s="765"/>
    </row>
    <row r="57" spans="1:16">
      <c r="B57" s="802"/>
      <c r="E57" s="775" t="s">
        <v>523</v>
      </c>
      <c r="F57" s="775" t="s">
        <v>523</v>
      </c>
      <c r="G57" s="775" t="s">
        <v>523</v>
      </c>
      <c r="H57" s="775" t="s">
        <v>523</v>
      </c>
      <c r="I57" s="775" t="s">
        <v>523</v>
      </c>
      <c r="K57" s="917" t="s">
        <v>566</v>
      </c>
      <c r="L57" s="918"/>
      <c r="N57" s="776"/>
      <c r="O57" s="777"/>
      <c r="P57" s="778" t="s">
        <v>161</v>
      </c>
    </row>
    <row r="58" spans="1:16" ht="15.75" customHeight="1">
      <c r="A58" s="779"/>
      <c r="B58" s="780"/>
      <c r="C58" s="780"/>
      <c r="D58" s="780"/>
      <c r="E58" s="919" t="s">
        <v>496</v>
      </c>
      <c r="F58" s="922" t="s">
        <v>524</v>
      </c>
      <c r="G58" s="922" t="s">
        <v>510</v>
      </c>
      <c r="H58" s="923" t="s">
        <v>525</v>
      </c>
      <c r="I58" s="926" t="s">
        <v>526</v>
      </c>
      <c r="J58" s="763"/>
      <c r="K58" s="926" t="s">
        <v>567</v>
      </c>
      <c r="L58" s="926" t="s">
        <v>568</v>
      </c>
      <c r="M58" s="763"/>
      <c r="N58" s="781" t="s">
        <v>527</v>
      </c>
      <c r="O58" s="782" t="s">
        <v>528</v>
      </c>
      <c r="P58" s="783" t="s">
        <v>529</v>
      </c>
    </row>
    <row r="59" spans="1:16">
      <c r="A59" s="784"/>
      <c r="B59" s="785"/>
      <c r="C59" s="785"/>
      <c r="D59" s="786" t="s">
        <v>161</v>
      </c>
      <c r="E59" s="920"/>
      <c r="F59" s="922"/>
      <c r="G59" s="922"/>
      <c r="H59" s="924"/>
      <c r="I59" s="927"/>
      <c r="J59" s="787"/>
      <c r="K59" s="927"/>
      <c r="L59" s="927"/>
      <c r="M59" s="787"/>
      <c r="N59" s="788">
        <f t="shared" ref="N59:N64" si="28">N60-1</f>
        <v>1</v>
      </c>
      <c r="O59" s="789">
        <v>0.7</v>
      </c>
      <c r="P59" s="768">
        <f t="shared" ref="P59:P66" si="29">IF($A$56=50%,CEILING(MROUND(MROUND($A$5*50%,50)*$A$56/50%,50)*O59,50),CEILING(MROUND($A$5*50%,50)*O59,50)*$A$56/50%)</f>
        <v>62015.999999999993</v>
      </c>
    </row>
    <row r="60" spans="1:16">
      <c r="A60" s="892"/>
      <c r="B60" s="790" t="s">
        <v>349</v>
      </c>
      <c r="C60" s="791" t="s">
        <v>350</v>
      </c>
      <c r="D60" s="792" t="s">
        <v>529</v>
      </c>
      <c r="E60" s="921"/>
      <c r="F60" s="922"/>
      <c r="G60" s="922"/>
      <c r="H60" s="925"/>
      <c r="I60" s="928"/>
      <c r="J60" s="793"/>
      <c r="K60" s="928"/>
      <c r="L60" s="928"/>
      <c r="M60" s="793"/>
      <c r="N60" s="788">
        <f t="shared" si="28"/>
        <v>2</v>
      </c>
      <c r="O60" s="789">
        <f>O59+0.1</f>
        <v>0.79999999999999993</v>
      </c>
      <c r="P60" s="768">
        <f t="shared" si="29"/>
        <v>70851</v>
      </c>
    </row>
    <row r="61" spans="1:16">
      <c r="A61" s="788" t="s">
        <v>342</v>
      </c>
      <c r="B61" s="794">
        <v>1</v>
      </c>
      <c r="C61" s="795">
        <f>IF(AND(A56&lt;=60%,$A$15="New Construction/Special Needs"),0.6,(IF(AND(A56&lt;&gt;60%,$A$15="Preservation/Rehab"),0.7,(IF(AND(A56=60%,$A$15="Preservation/Rehab"),0.7,0.6)))))</f>
        <v>0.6</v>
      </c>
      <c r="D61" s="796">
        <f>IF($A$56=50%,CEILING(MROUND(MROUND($A$5*50%,50)*$A$56/50%,50)*C61,50),CEILING(MROUND($A$5*50%,50)*C61,50)*$A$56/50%)</f>
        <v>53123.999999999993</v>
      </c>
      <c r="E61" s="768">
        <f t="shared" ref="E61:E66" si="30">ROUNDDOWN(D61*$A$7/12,0)</f>
        <v>1328</v>
      </c>
      <c r="F61" s="797">
        <f>E61-VLOOKUP(A61,$D$5:$H$10,3,FALSE)</f>
        <v>1254</v>
      </c>
      <c r="G61" s="798">
        <f>E61-VLOOKUP(A61,$D$5:$G$10,2,FALSE)</f>
        <v>1243</v>
      </c>
      <c r="H61" s="768">
        <f>E61-VLOOKUP(A61,$D$5:$H$10,4,FALSE)</f>
        <v>1303</v>
      </c>
      <c r="I61" s="768">
        <f>E61-VLOOKUP(A61,$D$5:$H$10,5,FALSE)</f>
        <v>1229</v>
      </c>
      <c r="J61" s="799"/>
      <c r="K61" s="893">
        <f>F61*12/L5</f>
        <v>37.619999999999997</v>
      </c>
      <c r="L61" s="893">
        <f>F61*12/N5</f>
        <v>30.096</v>
      </c>
      <c r="M61" s="799"/>
      <c r="N61" s="788">
        <f t="shared" si="28"/>
        <v>3</v>
      </c>
      <c r="O61" s="789">
        <f>O60+0.1</f>
        <v>0.89999999999999991</v>
      </c>
      <c r="P61" s="768">
        <f t="shared" si="29"/>
        <v>79686</v>
      </c>
    </row>
    <row r="62" spans="1:16">
      <c r="A62" s="788" t="s">
        <v>344</v>
      </c>
      <c r="B62" s="794">
        <v>1.5</v>
      </c>
      <c r="C62" s="795">
        <v>0.75</v>
      </c>
      <c r="D62" s="796">
        <f>AVERAGE(P59:P60)</f>
        <v>66433.5</v>
      </c>
      <c r="E62" s="768">
        <f t="shared" si="30"/>
        <v>1660</v>
      </c>
      <c r="F62" s="797">
        <f t="shared" ref="F62:F66" si="31">E62-VLOOKUP(A62,$D$5:$H$10,3,FALSE)</f>
        <v>1576</v>
      </c>
      <c r="G62" s="798">
        <f t="shared" ref="G62:G66" si="32">E62-VLOOKUP(A62,$D$5:$G$10,2,FALSE)</f>
        <v>1563</v>
      </c>
      <c r="H62" s="768">
        <f t="shared" ref="H62:H66" si="33">E62-VLOOKUP(A62,$D$5:$H$10,4,FALSE)</f>
        <v>1632</v>
      </c>
      <c r="I62" s="768">
        <f t="shared" ref="I62:I66" si="34">E62-VLOOKUP(A62,$D$5:$H$10,5,FALSE)</f>
        <v>1548</v>
      </c>
      <c r="J62" s="799"/>
      <c r="K62" s="893">
        <f t="shared" ref="K62:K65" si="35">F62*12/L6</f>
        <v>34.385454545454543</v>
      </c>
      <c r="L62" s="893">
        <f t="shared" ref="L62:L65" si="36">F62*12/N6</f>
        <v>29.095384615384614</v>
      </c>
      <c r="M62" s="799"/>
      <c r="N62" s="788">
        <f t="shared" si="28"/>
        <v>4</v>
      </c>
      <c r="O62" s="789">
        <f>O61+0.1</f>
        <v>0.99999999999999989</v>
      </c>
      <c r="P62" s="768">
        <f t="shared" si="29"/>
        <v>88520.999999999985</v>
      </c>
    </row>
    <row r="63" spans="1:16">
      <c r="A63" s="788" t="s">
        <v>346</v>
      </c>
      <c r="B63" s="794">
        <v>3</v>
      </c>
      <c r="C63" s="795">
        <v>0.9</v>
      </c>
      <c r="D63" s="796">
        <f>IF($A$56=50%,CEILING(MROUND(MROUND($A$5*50%,50)*$A$56/50%,50)*C63,50),CEILING(MROUND($A$5*50%,50)*C63,50)*$A$56/50%)</f>
        <v>79686</v>
      </c>
      <c r="E63" s="768">
        <f t="shared" si="30"/>
        <v>1992</v>
      </c>
      <c r="F63" s="797">
        <f t="shared" si="31"/>
        <v>1883</v>
      </c>
      <c r="G63" s="798">
        <f t="shared" si="32"/>
        <v>1864</v>
      </c>
      <c r="H63" s="768">
        <f t="shared" si="33"/>
        <v>1959</v>
      </c>
      <c r="I63" s="768">
        <f t="shared" si="34"/>
        <v>1850</v>
      </c>
      <c r="J63" s="799"/>
      <c r="K63" s="893">
        <f t="shared" si="35"/>
        <v>31.16689655172414</v>
      </c>
      <c r="L63" s="893">
        <f t="shared" si="36"/>
        <v>28.245000000000001</v>
      </c>
      <c r="M63" s="799"/>
      <c r="N63" s="788">
        <f t="shared" si="28"/>
        <v>5</v>
      </c>
      <c r="O63" s="789">
        <f>O62+0.08</f>
        <v>1.0799999999999998</v>
      </c>
      <c r="P63" s="768">
        <f t="shared" si="29"/>
        <v>95645.999999999985</v>
      </c>
    </row>
    <row r="64" spans="1:16">
      <c r="A64" s="788" t="s">
        <v>348</v>
      </c>
      <c r="B64" s="794">
        <v>4.5</v>
      </c>
      <c r="C64" s="795">
        <v>1.04</v>
      </c>
      <c r="D64" s="796">
        <f>AVERAGE(P62:P63)</f>
        <v>92083.499999999985</v>
      </c>
      <c r="E64" s="768">
        <f t="shared" si="30"/>
        <v>2302</v>
      </c>
      <c r="F64" s="797">
        <f t="shared" si="31"/>
        <v>2168</v>
      </c>
      <c r="G64" s="798">
        <f t="shared" si="32"/>
        <v>2143</v>
      </c>
      <c r="H64" s="768">
        <f t="shared" si="33"/>
        <v>2265</v>
      </c>
      <c r="I64" s="768">
        <f t="shared" si="34"/>
        <v>2131</v>
      </c>
      <c r="J64" s="799"/>
      <c r="K64" s="893">
        <f t="shared" si="35"/>
        <v>27.385263157894737</v>
      </c>
      <c r="L64" s="893">
        <f t="shared" si="36"/>
        <v>26.015999999999998</v>
      </c>
      <c r="M64" s="799"/>
      <c r="N64" s="788">
        <f t="shared" si="28"/>
        <v>6</v>
      </c>
      <c r="O64" s="789">
        <f>O63+0.08</f>
        <v>1.1599999999999999</v>
      </c>
      <c r="P64" s="768">
        <f t="shared" si="29"/>
        <v>102713.99999999999</v>
      </c>
    </row>
    <row r="65" spans="1:16">
      <c r="A65" s="788" t="s">
        <v>515</v>
      </c>
      <c r="B65" s="794">
        <v>6</v>
      </c>
      <c r="C65" s="795">
        <v>1.1599999999999999</v>
      </c>
      <c r="D65" s="796">
        <f>IF($A$56=50%,CEILING(MROUND(MROUND($A$5*50%,50)*$A$56/50%,50)*C65,50),CEILING(MROUND($A$5*50%,50)*C65,50)*$A$56/50%)</f>
        <v>102713.99999999999</v>
      </c>
      <c r="E65" s="768">
        <f t="shared" si="30"/>
        <v>2567</v>
      </c>
      <c r="F65" s="797">
        <f t="shared" si="31"/>
        <v>2407</v>
      </c>
      <c r="G65" s="798">
        <f t="shared" si="32"/>
        <v>2376</v>
      </c>
      <c r="H65" s="768">
        <f t="shared" si="33"/>
        <v>2525</v>
      </c>
      <c r="I65" s="768">
        <f t="shared" si="34"/>
        <v>2365</v>
      </c>
      <c r="J65" s="799"/>
      <c r="K65" s="893">
        <f t="shared" si="35"/>
        <v>26.868837209302324</v>
      </c>
      <c r="L65" s="893">
        <f t="shared" si="36"/>
        <v>23.107199999999999</v>
      </c>
      <c r="M65" s="799"/>
      <c r="N65" s="788">
        <f>N66-1</f>
        <v>7</v>
      </c>
      <c r="O65" s="789">
        <f>O64+0.08</f>
        <v>1.24</v>
      </c>
      <c r="P65" s="768">
        <f t="shared" si="29"/>
        <v>109781.99999999999</v>
      </c>
    </row>
    <row r="66" spans="1:16">
      <c r="A66" s="788" t="s">
        <v>516</v>
      </c>
      <c r="B66" s="794">
        <v>7.5</v>
      </c>
      <c r="C66" s="795">
        <f>1.28</f>
        <v>1.28</v>
      </c>
      <c r="D66" s="796">
        <f>AVERAGE(P65:P66)</f>
        <v>113315.99999999999</v>
      </c>
      <c r="E66" s="768">
        <f t="shared" si="30"/>
        <v>2832</v>
      </c>
      <c r="F66" s="797">
        <f t="shared" si="31"/>
        <v>2646</v>
      </c>
      <c r="G66" s="798">
        <f t="shared" si="32"/>
        <v>2609</v>
      </c>
      <c r="H66" s="768">
        <f t="shared" si="33"/>
        <v>2786</v>
      </c>
      <c r="I66" s="768">
        <f t="shared" si="34"/>
        <v>2600</v>
      </c>
      <c r="J66" s="799"/>
      <c r="K66" s="768" t="s">
        <v>569</v>
      </c>
      <c r="L66" s="768" t="s">
        <v>569</v>
      </c>
      <c r="M66" s="799"/>
      <c r="N66" s="788">
        <v>8</v>
      </c>
      <c r="O66" s="789">
        <f>O65+0.08</f>
        <v>1.32</v>
      </c>
      <c r="P66" s="768">
        <f t="shared" si="29"/>
        <v>116849.99999999999</v>
      </c>
    </row>
    <row r="69" spans="1:16">
      <c r="A69" s="770">
        <v>0.8</v>
      </c>
      <c r="B69" s="773" t="s">
        <v>522</v>
      </c>
      <c r="C69" s="768">
        <f>IF($A$69=50%,CEILING(MROUND(MROUND($A$5*50%,50)*$A$69/50%,50)*O75,50),CEILING(MROUND($A$5*50%,50)*O75,50)*$A$69/50%)</f>
        <v>124240</v>
      </c>
      <c r="D69" s="774" t="s">
        <v>513</v>
      </c>
      <c r="E69" s="765"/>
      <c r="F69" s="765"/>
      <c r="G69" s="765"/>
      <c r="H69" s="765"/>
      <c r="I69" s="765"/>
      <c r="J69" s="765"/>
      <c r="K69" s="765"/>
      <c r="L69" s="765"/>
      <c r="M69" s="765"/>
      <c r="N69" s="765"/>
      <c r="O69" s="765"/>
    </row>
    <row r="70" spans="1:16">
      <c r="E70" s="775" t="s">
        <v>523</v>
      </c>
      <c r="F70" s="775" t="s">
        <v>523</v>
      </c>
      <c r="G70" s="775" t="s">
        <v>523</v>
      </c>
      <c r="H70" s="775" t="s">
        <v>523</v>
      </c>
      <c r="I70" s="775" t="s">
        <v>523</v>
      </c>
      <c r="K70" s="917" t="s">
        <v>566</v>
      </c>
      <c r="L70" s="918"/>
      <c r="N70" s="776"/>
      <c r="O70" s="777"/>
      <c r="P70" s="778" t="s">
        <v>161</v>
      </c>
    </row>
    <row r="71" spans="1:16" ht="15.75" customHeight="1">
      <c r="A71" s="779"/>
      <c r="B71" s="780"/>
      <c r="C71" s="780"/>
      <c r="D71" s="780"/>
      <c r="E71" s="919" t="s">
        <v>496</v>
      </c>
      <c r="F71" s="922" t="s">
        <v>524</v>
      </c>
      <c r="G71" s="922" t="s">
        <v>510</v>
      </c>
      <c r="H71" s="923" t="s">
        <v>525</v>
      </c>
      <c r="I71" s="926" t="s">
        <v>526</v>
      </c>
      <c r="J71" s="763"/>
      <c r="K71" s="926" t="s">
        <v>567</v>
      </c>
      <c r="L71" s="926" t="s">
        <v>568</v>
      </c>
      <c r="M71" s="763"/>
      <c r="N71" s="781" t="s">
        <v>527</v>
      </c>
      <c r="O71" s="782" t="s">
        <v>528</v>
      </c>
      <c r="P71" s="783" t="s">
        <v>529</v>
      </c>
    </row>
    <row r="72" spans="1:16">
      <c r="A72" s="784"/>
      <c r="B72" s="785"/>
      <c r="C72" s="785"/>
      <c r="D72" s="786" t="s">
        <v>161</v>
      </c>
      <c r="E72" s="920"/>
      <c r="F72" s="922"/>
      <c r="G72" s="922"/>
      <c r="H72" s="924"/>
      <c r="I72" s="927"/>
      <c r="J72" s="787"/>
      <c r="K72" s="927"/>
      <c r="L72" s="927"/>
      <c r="M72" s="787"/>
      <c r="N72" s="788">
        <f t="shared" ref="N72:N77" si="37">N73-1</f>
        <v>1</v>
      </c>
      <c r="O72" s="789">
        <v>0.7</v>
      </c>
      <c r="P72" s="768">
        <f t="shared" ref="P72:P79" si="38">IF($A$69=50%,CEILING(MROUND(MROUND($A$5*50%,50)*$A$69/50%,50)*O72,50),CEILING(MROUND($A$5*50%,50)*O72,50)*$A$69/50%)</f>
        <v>87040</v>
      </c>
    </row>
    <row r="73" spans="1:16">
      <c r="A73" s="892"/>
      <c r="B73" s="790" t="s">
        <v>349</v>
      </c>
      <c r="C73" s="791" t="s">
        <v>350</v>
      </c>
      <c r="D73" s="792" t="s">
        <v>529</v>
      </c>
      <c r="E73" s="921"/>
      <c r="F73" s="922"/>
      <c r="G73" s="922"/>
      <c r="H73" s="925"/>
      <c r="I73" s="928"/>
      <c r="J73" s="793"/>
      <c r="K73" s="928"/>
      <c r="L73" s="928"/>
      <c r="M73" s="793"/>
      <c r="N73" s="788">
        <f t="shared" si="37"/>
        <v>2</v>
      </c>
      <c r="O73" s="789">
        <f>O72+0.1</f>
        <v>0.79999999999999993</v>
      </c>
      <c r="P73" s="768">
        <f t="shared" si="38"/>
        <v>99440</v>
      </c>
    </row>
    <row r="74" spans="1:16">
      <c r="A74" s="788" t="s">
        <v>342</v>
      </c>
      <c r="B74" s="794">
        <v>1</v>
      </c>
      <c r="C74" s="795">
        <f>IF(AND(A69&lt;=60%,$A$15="New Construction/Special Needs"),0.6,(IF(AND(A69&lt;&gt;60%,$A$15="Preservation/Rehab"),0.7,(IF(AND(A69=60%,$A$15="Preservation/Rehab"),0.7,0.6)))))</f>
        <v>0.6</v>
      </c>
      <c r="D74" s="796">
        <f>IF($A$69=50%,CEILING(MROUND(MROUND($A$5*50%,50)*$A$69/50%,50)*C74,50),CEILING(MROUND($A$5*50%,50)*C74,50)*$A$69/50%)</f>
        <v>74560</v>
      </c>
      <c r="E74" s="768">
        <f t="shared" ref="E74:E79" si="39">ROUNDDOWN(D74*$A$7/12,0)</f>
        <v>1864</v>
      </c>
      <c r="F74" s="797">
        <f>E74-VLOOKUP(A74,$D$5:$H$10,3,FALSE)</f>
        <v>1790</v>
      </c>
      <c r="G74" s="798">
        <f>E74-VLOOKUP(A74,$D$5:$G$10,2,FALSE)</f>
        <v>1779</v>
      </c>
      <c r="H74" s="768">
        <f>E74-VLOOKUP(A74,$D$5:$H$10,4,FALSE)</f>
        <v>1839</v>
      </c>
      <c r="I74" s="768">
        <f>E74-VLOOKUP(A74,$D$5:$H$10,5,FALSE)</f>
        <v>1765</v>
      </c>
      <c r="J74" s="799"/>
      <c r="K74" s="893">
        <f>F74*12/L5</f>
        <v>53.7</v>
      </c>
      <c r="L74" s="893">
        <f>F74*12/N5</f>
        <v>42.96</v>
      </c>
      <c r="M74" s="799"/>
      <c r="N74" s="788">
        <f t="shared" si="37"/>
        <v>3</v>
      </c>
      <c r="O74" s="789">
        <f>O73+0.1</f>
        <v>0.89999999999999991</v>
      </c>
      <c r="P74" s="768">
        <f t="shared" si="38"/>
        <v>111840</v>
      </c>
    </row>
    <row r="75" spans="1:16">
      <c r="A75" s="788" t="s">
        <v>344</v>
      </c>
      <c r="B75" s="794">
        <v>1.5</v>
      </c>
      <c r="C75" s="795">
        <v>0.75</v>
      </c>
      <c r="D75" s="796">
        <f>AVERAGE(P72:P73)</f>
        <v>93240</v>
      </c>
      <c r="E75" s="768">
        <f t="shared" si="39"/>
        <v>2331</v>
      </c>
      <c r="F75" s="797">
        <f t="shared" ref="F75:F79" si="40">E75-VLOOKUP(A75,$D$5:$H$10,3,FALSE)</f>
        <v>2247</v>
      </c>
      <c r="G75" s="798">
        <f t="shared" ref="G75:G79" si="41">E75-VLOOKUP(A75,$D$5:$G$10,2,FALSE)</f>
        <v>2234</v>
      </c>
      <c r="H75" s="768">
        <f t="shared" ref="H75:H79" si="42">E75-VLOOKUP(A75,$D$5:$H$10,4,FALSE)</f>
        <v>2303</v>
      </c>
      <c r="I75" s="768">
        <f t="shared" ref="I75:I79" si="43">E75-VLOOKUP(A75,$D$5:$H$10,5,FALSE)</f>
        <v>2219</v>
      </c>
      <c r="J75" s="799"/>
      <c r="K75" s="893">
        <f t="shared" ref="K75:K78" si="44">F75*12/L6</f>
        <v>49.025454545454544</v>
      </c>
      <c r="L75" s="893">
        <f t="shared" ref="L75:L78" si="45">F75*12/N6</f>
        <v>41.483076923076922</v>
      </c>
      <c r="M75" s="799"/>
      <c r="N75" s="788">
        <f t="shared" si="37"/>
        <v>4</v>
      </c>
      <c r="O75" s="789">
        <f>O74+0.1</f>
        <v>0.99999999999999989</v>
      </c>
      <c r="P75" s="768">
        <f t="shared" si="38"/>
        <v>124240</v>
      </c>
    </row>
    <row r="76" spans="1:16">
      <c r="A76" s="788" t="s">
        <v>346</v>
      </c>
      <c r="B76" s="794">
        <v>3</v>
      </c>
      <c r="C76" s="795">
        <v>0.9</v>
      </c>
      <c r="D76" s="796">
        <f>IF($A$69=50%,CEILING(MROUND(MROUND($A$5*50%,50)*$A$69/50%,50)*C76,50),CEILING(MROUND($A$5*50%,50)*C76,50)*$A$69/50%)</f>
        <v>111840</v>
      </c>
      <c r="E76" s="768">
        <f t="shared" si="39"/>
        <v>2796</v>
      </c>
      <c r="F76" s="797">
        <f t="shared" si="40"/>
        <v>2687</v>
      </c>
      <c r="G76" s="798">
        <f t="shared" si="41"/>
        <v>2668</v>
      </c>
      <c r="H76" s="768">
        <f t="shared" si="42"/>
        <v>2763</v>
      </c>
      <c r="I76" s="768">
        <f t="shared" si="43"/>
        <v>2654</v>
      </c>
      <c r="J76" s="799"/>
      <c r="K76" s="893">
        <f t="shared" si="44"/>
        <v>44.474482758620688</v>
      </c>
      <c r="L76" s="893">
        <f t="shared" si="45"/>
        <v>40.305</v>
      </c>
      <c r="M76" s="799"/>
      <c r="N76" s="788">
        <f t="shared" si="37"/>
        <v>5</v>
      </c>
      <c r="O76" s="789">
        <f>O75+0.08</f>
        <v>1.0799999999999998</v>
      </c>
      <c r="P76" s="768">
        <f t="shared" si="38"/>
        <v>134240</v>
      </c>
    </row>
    <row r="77" spans="1:16">
      <c r="A77" s="788" t="s">
        <v>348</v>
      </c>
      <c r="B77" s="794">
        <v>4.5</v>
      </c>
      <c r="C77" s="795">
        <v>1.04</v>
      </c>
      <c r="D77" s="796">
        <f>AVERAGE(P75:P76)</f>
        <v>129240</v>
      </c>
      <c r="E77" s="768">
        <f t="shared" si="39"/>
        <v>3231</v>
      </c>
      <c r="F77" s="797">
        <f t="shared" si="40"/>
        <v>3097</v>
      </c>
      <c r="G77" s="798">
        <f t="shared" si="41"/>
        <v>3072</v>
      </c>
      <c r="H77" s="768">
        <f t="shared" si="42"/>
        <v>3194</v>
      </c>
      <c r="I77" s="768">
        <f t="shared" si="43"/>
        <v>3060</v>
      </c>
      <c r="J77" s="799"/>
      <c r="K77" s="893">
        <f t="shared" si="44"/>
        <v>39.119999999999997</v>
      </c>
      <c r="L77" s="893">
        <f t="shared" si="45"/>
        <v>37.164000000000001</v>
      </c>
      <c r="M77" s="799"/>
      <c r="N77" s="788">
        <f t="shared" si="37"/>
        <v>6</v>
      </c>
      <c r="O77" s="789">
        <f>O76+0.08</f>
        <v>1.1599999999999999</v>
      </c>
      <c r="P77" s="768">
        <f t="shared" si="38"/>
        <v>144160</v>
      </c>
    </row>
    <row r="78" spans="1:16">
      <c r="A78" s="788" t="s">
        <v>515</v>
      </c>
      <c r="B78" s="794">
        <v>6</v>
      </c>
      <c r="C78" s="795">
        <v>1.1599999999999999</v>
      </c>
      <c r="D78" s="796">
        <f>IF($A$69=50%,CEILING(MROUND(MROUND($A$5*50%,50)*$A$69/50%,50)*C78,50),CEILING(MROUND($A$5*50%,50)*C78,50)*$A$69/50%)</f>
        <v>144160</v>
      </c>
      <c r="E78" s="768">
        <f t="shared" si="39"/>
        <v>3604</v>
      </c>
      <c r="F78" s="797">
        <f t="shared" si="40"/>
        <v>3444</v>
      </c>
      <c r="G78" s="798">
        <f t="shared" si="41"/>
        <v>3413</v>
      </c>
      <c r="H78" s="768">
        <f t="shared" si="42"/>
        <v>3562</v>
      </c>
      <c r="I78" s="768">
        <f t="shared" si="43"/>
        <v>3402</v>
      </c>
      <c r="J78" s="799"/>
      <c r="K78" s="893">
        <f t="shared" si="44"/>
        <v>38.444651162790699</v>
      </c>
      <c r="L78" s="893">
        <f t="shared" si="45"/>
        <v>33.062399999999997</v>
      </c>
      <c r="M78" s="799"/>
      <c r="N78" s="788">
        <f>N79-1</f>
        <v>7</v>
      </c>
      <c r="O78" s="789">
        <f>O77+0.08</f>
        <v>1.24</v>
      </c>
      <c r="P78" s="768">
        <f t="shared" si="38"/>
        <v>154080</v>
      </c>
    </row>
    <row r="79" spans="1:16">
      <c r="A79" s="788" t="s">
        <v>516</v>
      </c>
      <c r="B79" s="794">
        <v>7.5</v>
      </c>
      <c r="C79" s="795">
        <f>1.28</f>
        <v>1.28</v>
      </c>
      <c r="D79" s="796">
        <f>AVERAGE(P78:P79)</f>
        <v>159040</v>
      </c>
      <c r="E79" s="768">
        <f t="shared" si="39"/>
        <v>3976</v>
      </c>
      <c r="F79" s="797">
        <f t="shared" si="40"/>
        <v>3790</v>
      </c>
      <c r="G79" s="798">
        <f t="shared" si="41"/>
        <v>3753</v>
      </c>
      <c r="H79" s="768">
        <f t="shared" si="42"/>
        <v>3930</v>
      </c>
      <c r="I79" s="768">
        <f t="shared" si="43"/>
        <v>3744</v>
      </c>
      <c r="J79" s="799"/>
      <c r="K79" s="768" t="s">
        <v>569</v>
      </c>
      <c r="L79" s="768" t="s">
        <v>569</v>
      </c>
      <c r="M79" s="799"/>
      <c r="N79" s="788">
        <v>8</v>
      </c>
      <c r="O79" s="789">
        <f>O78+0.08</f>
        <v>1.32</v>
      </c>
      <c r="P79" s="768">
        <f t="shared" si="38"/>
        <v>164000</v>
      </c>
    </row>
    <row r="81" spans="1:16">
      <c r="A81" s="770">
        <v>1</v>
      </c>
      <c r="B81" s="773" t="s">
        <v>522</v>
      </c>
      <c r="C81" s="768">
        <f>IF($A$81=50%,CEILING(MROUND(MROUND($A$5*50%,50)*$A$81/50%,50)*O87,50),CEILING(MROUND($A$5*50%,50)*O87,50)*$A$81/50%)</f>
        <v>155300</v>
      </c>
      <c r="D81" s="774" t="s">
        <v>513</v>
      </c>
      <c r="E81" s="765"/>
      <c r="F81" s="765"/>
      <c r="G81" s="765"/>
      <c r="H81" s="765"/>
      <c r="I81" s="765"/>
      <c r="J81" s="765"/>
      <c r="K81" s="765"/>
      <c r="L81" s="765"/>
      <c r="M81" s="765"/>
      <c r="N81" s="765"/>
      <c r="O81" s="765"/>
    </row>
    <row r="82" spans="1:16">
      <c r="E82" s="775" t="s">
        <v>523</v>
      </c>
      <c r="F82" s="775" t="s">
        <v>523</v>
      </c>
      <c r="G82" s="775" t="s">
        <v>523</v>
      </c>
      <c r="H82" s="775" t="s">
        <v>523</v>
      </c>
      <c r="I82" s="775" t="s">
        <v>523</v>
      </c>
      <c r="K82" s="917" t="s">
        <v>566</v>
      </c>
      <c r="L82" s="918"/>
      <c r="N82" s="776"/>
      <c r="O82" s="777"/>
      <c r="P82" s="778" t="s">
        <v>161</v>
      </c>
    </row>
    <row r="83" spans="1:16" ht="15.75" customHeight="1">
      <c r="A83" s="779"/>
      <c r="B83" s="780"/>
      <c r="C83" s="780"/>
      <c r="D83" s="780"/>
      <c r="E83" s="919" t="s">
        <v>496</v>
      </c>
      <c r="F83" s="922" t="s">
        <v>524</v>
      </c>
      <c r="G83" s="922" t="s">
        <v>510</v>
      </c>
      <c r="H83" s="923" t="s">
        <v>525</v>
      </c>
      <c r="I83" s="926" t="s">
        <v>526</v>
      </c>
      <c r="J83" s="763"/>
      <c r="K83" s="926" t="s">
        <v>567</v>
      </c>
      <c r="L83" s="926" t="s">
        <v>568</v>
      </c>
      <c r="M83" s="763"/>
      <c r="N83" s="781" t="s">
        <v>527</v>
      </c>
      <c r="O83" s="782" t="s">
        <v>528</v>
      </c>
      <c r="P83" s="783" t="s">
        <v>529</v>
      </c>
    </row>
    <row r="84" spans="1:16">
      <c r="A84" s="784"/>
      <c r="B84" s="785"/>
      <c r="C84" s="785"/>
      <c r="D84" s="786" t="s">
        <v>161</v>
      </c>
      <c r="E84" s="920"/>
      <c r="F84" s="922"/>
      <c r="G84" s="922"/>
      <c r="H84" s="924"/>
      <c r="I84" s="927"/>
      <c r="J84" s="787"/>
      <c r="K84" s="927"/>
      <c r="L84" s="927"/>
      <c r="M84" s="787"/>
      <c r="N84" s="788">
        <f t="shared" ref="N84:N89" si="46">N85-1</f>
        <v>1</v>
      </c>
      <c r="O84" s="789">
        <v>0.7</v>
      </c>
      <c r="P84" s="768">
        <f t="shared" ref="P84:P91" si="47">IF($A$81=50%,CEILING(MROUND(MROUND($A$5*50%,50)*$A$81/50%,50)*O84,50),CEILING(MROUND($A$5*50%,50)*O84,50)*$A$81/50%)</f>
        <v>108800</v>
      </c>
    </row>
    <row r="85" spans="1:16">
      <c r="A85" s="892"/>
      <c r="B85" s="790" t="s">
        <v>349</v>
      </c>
      <c r="C85" s="791" t="s">
        <v>350</v>
      </c>
      <c r="D85" s="792" t="s">
        <v>529</v>
      </c>
      <c r="E85" s="921"/>
      <c r="F85" s="922"/>
      <c r="G85" s="922"/>
      <c r="H85" s="925"/>
      <c r="I85" s="928"/>
      <c r="J85" s="793"/>
      <c r="K85" s="928"/>
      <c r="L85" s="928"/>
      <c r="M85" s="793"/>
      <c r="N85" s="788">
        <f t="shared" si="46"/>
        <v>2</v>
      </c>
      <c r="O85" s="789">
        <f>O84+0.1</f>
        <v>0.79999999999999993</v>
      </c>
      <c r="P85" s="768">
        <f t="shared" si="47"/>
        <v>124300</v>
      </c>
    </row>
    <row r="86" spans="1:16">
      <c r="A86" s="788" t="s">
        <v>342</v>
      </c>
      <c r="B86" s="794">
        <v>1</v>
      </c>
      <c r="C86" s="795">
        <f>IF(AND(A81&lt;=60%,$A$15="New Construction/Special Needs"),0.6,(IF(AND(A81&lt;&gt;60%,$A$15="Preservation/Rehab"),0.7,(IF(AND(A81=60%,$A$15="Preservation/Rehab"),0.7,0.6)))))</f>
        <v>0.6</v>
      </c>
      <c r="D86" s="796">
        <f>IF($A$81=50%,CEILING(MROUND(MROUND($A$5*50%,50)*$A$81/50%,50)*C86,50),CEILING(MROUND($A$5*50%,50)*C86,50)*$A$81/50%)</f>
        <v>93200</v>
      </c>
      <c r="E86" s="768">
        <f t="shared" ref="E86:E91" si="48">ROUNDDOWN(D86*$A$7/12,0)</f>
        <v>2330</v>
      </c>
      <c r="F86" s="797">
        <f>E86-VLOOKUP(A86,$D$5:$H$10,3,FALSE)</f>
        <v>2256</v>
      </c>
      <c r="G86" s="798">
        <f>E86-VLOOKUP(A86,$D$5:$G$10,2,FALSE)</f>
        <v>2245</v>
      </c>
      <c r="H86" s="768">
        <f>E86-VLOOKUP(A86,$D$5:$H$10,4,FALSE)</f>
        <v>2305</v>
      </c>
      <c r="I86" s="768">
        <f>E86-VLOOKUP(A86,$D$5:$H$10,5,FALSE)</f>
        <v>2231</v>
      </c>
      <c r="J86" s="799"/>
      <c r="K86" s="893">
        <f>F86*12/L5</f>
        <v>67.680000000000007</v>
      </c>
      <c r="L86" s="893">
        <f>F86*12/N5</f>
        <v>54.143999999999998</v>
      </c>
      <c r="M86" s="799"/>
      <c r="N86" s="788">
        <f t="shared" si="46"/>
        <v>3</v>
      </c>
      <c r="O86" s="789">
        <f>O85+0.1</f>
        <v>0.89999999999999991</v>
      </c>
      <c r="P86" s="768">
        <f t="shared" si="47"/>
        <v>139800</v>
      </c>
    </row>
    <row r="87" spans="1:16">
      <c r="A87" s="788" t="s">
        <v>344</v>
      </c>
      <c r="B87" s="794">
        <v>1.5</v>
      </c>
      <c r="C87" s="795">
        <v>0.75</v>
      </c>
      <c r="D87" s="796">
        <f>AVERAGE(P84:P85)</f>
        <v>116550</v>
      </c>
      <c r="E87" s="768">
        <f t="shared" si="48"/>
        <v>2913</v>
      </c>
      <c r="F87" s="797">
        <f t="shared" ref="F87:F91" si="49">E87-VLOOKUP(A87,$D$5:$H$10,3,FALSE)</f>
        <v>2829</v>
      </c>
      <c r="G87" s="798">
        <f t="shared" ref="G87:G91" si="50">E87-VLOOKUP(A87,$D$5:$G$10,2,FALSE)</f>
        <v>2816</v>
      </c>
      <c r="H87" s="768">
        <f t="shared" ref="H87:H91" si="51">E87-VLOOKUP(A87,$D$5:$H$10,4,FALSE)</f>
        <v>2885</v>
      </c>
      <c r="I87" s="768">
        <f t="shared" ref="I87:I91" si="52">E87-VLOOKUP(A87,$D$5:$H$10,5,FALSE)</f>
        <v>2801</v>
      </c>
      <c r="J87" s="799"/>
      <c r="K87" s="893">
        <f t="shared" ref="K87:K90" si="53">F87*12/L6</f>
        <v>61.723636363636366</v>
      </c>
      <c r="L87" s="893">
        <f t="shared" ref="L87:L90" si="54">F87*12/N6</f>
        <v>52.227692307692308</v>
      </c>
      <c r="M87" s="799"/>
      <c r="N87" s="788">
        <f t="shared" si="46"/>
        <v>4</v>
      </c>
      <c r="O87" s="789">
        <f>O86+0.1</f>
        <v>0.99999999999999989</v>
      </c>
      <c r="P87" s="768">
        <f t="shared" si="47"/>
        <v>155300</v>
      </c>
    </row>
    <row r="88" spans="1:16">
      <c r="A88" s="788" t="s">
        <v>346</v>
      </c>
      <c r="B88" s="794">
        <v>3</v>
      </c>
      <c r="C88" s="795">
        <v>0.9</v>
      </c>
      <c r="D88" s="796">
        <f>IF($A$81=50%,CEILING(MROUND(MROUND($A$5*50%,50)*$A$81/50%,50)*C88,50),CEILING(MROUND($A$5*50%,50)*C88,50)*$A$81/50%)</f>
        <v>139800</v>
      </c>
      <c r="E88" s="768">
        <f t="shared" si="48"/>
        <v>3495</v>
      </c>
      <c r="F88" s="797">
        <f t="shared" si="49"/>
        <v>3386</v>
      </c>
      <c r="G88" s="798">
        <f t="shared" si="50"/>
        <v>3367</v>
      </c>
      <c r="H88" s="768">
        <f t="shared" si="51"/>
        <v>3462</v>
      </c>
      <c r="I88" s="768">
        <f t="shared" si="52"/>
        <v>3353</v>
      </c>
      <c r="J88" s="799"/>
      <c r="K88" s="893">
        <f t="shared" si="53"/>
        <v>56.044137931034484</v>
      </c>
      <c r="L88" s="893">
        <f t="shared" si="54"/>
        <v>50.79</v>
      </c>
      <c r="M88" s="799"/>
      <c r="N88" s="788">
        <f t="shared" si="46"/>
        <v>5</v>
      </c>
      <c r="O88" s="789">
        <f>O87+0.08</f>
        <v>1.0799999999999998</v>
      </c>
      <c r="P88" s="768">
        <f t="shared" si="47"/>
        <v>167800</v>
      </c>
    </row>
    <row r="89" spans="1:16">
      <c r="A89" s="788" t="s">
        <v>348</v>
      </c>
      <c r="B89" s="794">
        <v>4.5</v>
      </c>
      <c r="C89" s="795">
        <v>1.04</v>
      </c>
      <c r="D89" s="796">
        <f>AVERAGE(P87:P88)</f>
        <v>161550</v>
      </c>
      <c r="E89" s="768">
        <f t="shared" si="48"/>
        <v>4038</v>
      </c>
      <c r="F89" s="797">
        <f t="shared" si="49"/>
        <v>3904</v>
      </c>
      <c r="G89" s="798">
        <f t="shared" si="50"/>
        <v>3879</v>
      </c>
      <c r="H89" s="768">
        <f t="shared" si="51"/>
        <v>4001</v>
      </c>
      <c r="I89" s="768">
        <f t="shared" si="52"/>
        <v>3867</v>
      </c>
      <c r="J89" s="799"/>
      <c r="K89" s="893">
        <f t="shared" si="53"/>
        <v>49.313684210526318</v>
      </c>
      <c r="L89" s="893">
        <f t="shared" si="54"/>
        <v>46.847999999999999</v>
      </c>
      <c r="M89" s="799"/>
      <c r="N89" s="788">
        <f t="shared" si="46"/>
        <v>6</v>
      </c>
      <c r="O89" s="789">
        <f>O88+0.08</f>
        <v>1.1599999999999999</v>
      </c>
      <c r="P89" s="768">
        <f t="shared" si="47"/>
        <v>180200</v>
      </c>
    </row>
    <row r="90" spans="1:16">
      <c r="A90" s="788" t="s">
        <v>515</v>
      </c>
      <c r="B90" s="794">
        <v>6</v>
      </c>
      <c r="C90" s="795">
        <v>1.1599999999999999</v>
      </c>
      <c r="D90" s="796">
        <f>IF($A$81=50%,CEILING(MROUND(MROUND($A$5*50%,50)*$A$81/50%,50)*C90,50),CEILING(MROUND($A$5*50%,50)*C90,50)*$A$81/50%)</f>
        <v>180200</v>
      </c>
      <c r="E90" s="768">
        <f t="shared" si="48"/>
        <v>4505</v>
      </c>
      <c r="F90" s="797">
        <f t="shared" si="49"/>
        <v>4345</v>
      </c>
      <c r="G90" s="798">
        <f t="shared" si="50"/>
        <v>4314</v>
      </c>
      <c r="H90" s="768">
        <f t="shared" si="51"/>
        <v>4463</v>
      </c>
      <c r="I90" s="768">
        <f t="shared" si="52"/>
        <v>4303</v>
      </c>
      <c r="J90" s="799"/>
      <c r="K90" s="893">
        <f t="shared" si="53"/>
        <v>48.502325581395347</v>
      </c>
      <c r="L90" s="893">
        <f t="shared" si="54"/>
        <v>41.712000000000003</v>
      </c>
      <c r="M90" s="799"/>
      <c r="N90" s="788">
        <f>N91-1</f>
        <v>7</v>
      </c>
      <c r="O90" s="789">
        <f>O89+0.08</f>
        <v>1.24</v>
      </c>
      <c r="P90" s="768">
        <f t="shared" si="47"/>
        <v>192600</v>
      </c>
    </row>
    <row r="91" spans="1:16">
      <c r="A91" s="788" t="s">
        <v>516</v>
      </c>
      <c r="B91" s="794">
        <v>7.5</v>
      </c>
      <c r="C91" s="795">
        <f>1.28</f>
        <v>1.28</v>
      </c>
      <c r="D91" s="796">
        <f>AVERAGE(P90:P91)</f>
        <v>198800</v>
      </c>
      <c r="E91" s="768">
        <f t="shared" si="48"/>
        <v>4970</v>
      </c>
      <c r="F91" s="797">
        <f t="shared" si="49"/>
        <v>4784</v>
      </c>
      <c r="G91" s="798">
        <f t="shared" si="50"/>
        <v>4747</v>
      </c>
      <c r="H91" s="768">
        <f t="shared" si="51"/>
        <v>4924</v>
      </c>
      <c r="I91" s="768">
        <f t="shared" si="52"/>
        <v>4738</v>
      </c>
      <c r="J91" s="799"/>
      <c r="K91" s="768" t="s">
        <v>569</v>
      </c>
      <c r="L91" s="768" t="s">
        <v>569</v>
      </c>
      <c r="M91" s="799"/>
      <c r="N91" s="788">
        <v>8</v>
      </c>
      <c r="O91" s="789">
        <f>O90+0.08</f>
        <v>1.32</v>
      </c>
      <c r="P91" s="768">
        <f t="shared" si="47"/>
        <v>205000</v>
      </c>
    </row>
    <row r="93" spans="1:16">
      <c r="A93" s="770">
        <v>1.3</v>
      </c>
      <c r="B93" s="773" t="s">
        <v>522</v>
      </c>
      <c r="C93" s="768">
        <f>IF($A$93=50%,CEILING(MROUND(MROUND($A$5*50%,50)*$A$93/50%,50)*O99,50),CEILING(MROUND($A$5*50%,50)*O99,50)*$A$93/50%)</f>
        <v>201890</v>
      </c>
      <c r="D93" s="774" t="s">
        <v>513</v>
      </c>
      <c r="E93" s="765"/>
      <c r="F93" s="765"/>
      <c r="G93" s="765"/>
      <c r="H93" s="765"/>
      <c r="I93" s="765"/>
      <c r="J93" s="765"/>
      <c r="K93" s="765"/>
      <c r="L93" s="765"/>
      <c r="M93" s="765"/>
      <c r="N93" s="765"/>
      <c r="O93" s="765"/>
    </row>
    <row r="94" spans="1:16">
      <c r="E94" s="775" t="s">
        <v>523</v>
      </c>
      <c r="F94" s="775" t="s">
        <v>523</v>
      </c>
      <c r="G94" s="775" t="s">
        <v>523</v>
      </c>
      <c r="H94" s="775" t="s">
        <v>523</v>
      </c>
      <c r="I94" s="775" t="s">
        <v>523</v>
      </c>
      <c r="K94" s="917" t="s">
        <v>566</v>
      </c>
      <c r="L94" s="918"/>
      <c r="N94" s="776"/>
      <c r="O94" s="777"/>
      <c r="P94" s="778" t="s">
        <v>161</v>
      </c>
    </row>
    <row r="95" spans="1:16" ht="15.75" customHeight="1">
      <c r="A95" s="779"/>
      <c r="B95" s="780"/>
      <c r="C95" s="780"/>
      <c r="D95" s="780"/>
      <c r="E95" s="919" t="s">
        <v>496</v>
      </c>
      <c r="F95" s="922" t="s">
        <v>524</v>
      </c>
      <c r="G95" s="922" t="s">
        <v>510</v>
      </c>
      <c r="H95" s="923" t="s">
        <v>525</v>
      </c>
      <c r="I95" s="926" t="s">
        <v>526</v>
      </c>
      <c r="J95" s="763"/>
      <c r="K95" s="926" t="s">
        <v>567</v>
      </c>
      <c r="L95" s="926" t="s">
        <v>568</v>
      </c>
      <c r="M95" s="763"/>
      <c r="N95" s="781" t="s">
        <v>527</v>
      </c>
      <c r="O95" s="782" t="s">
        <v>528</v>
      </c>
      <c r="P95" s="783" t="s">
        <v>529</v>
      </c>
    </row>
    <row r="96" spans="1:16">
      <c r="A96" s="784"/>
      <c r="B96" s="785"/>
      <c r="C96" s="785"/>
      <c r="D96" s="786" t="s">
        <v>161</v>
      </c>
      <c r="E96" s="920"/>
      <c r="F96" s="922"/>
      <c r="G96" s="922"/>
      <c r="H96" s="924"/>
      <c r="I96" s="927"/>
      <c r="J96" s="787"/>
      <c r="K96" s="927"/>
      <c r="L96" s="927"/>
      <c r="M96" s="787"/>
      <c r="N96" s="788">
        <f t="shared" ref="N96:N101" si="55">N97-1</f>
        <v>1</v>
      </c>
      <c r="O96" s="789">
        <v>0.7</v>
      </c>
      <c r="P96" s="768">
        <f t="shared" ref="P96:P103" si="56">IF($A$93=50%,CEILING(MROUND(MROUND($A$5*50%,50)*$A$93/50%,50)*O96,50),CEILING(MROUND($A$5*50%,50)*O96,50)*$A$93/50%)</f>
        <v>141440</v>
      </c>
    </row>
    <row r="97" spans="1:16">
      <c r="A97" s="892"/>
      <c r="B97" s="790" t="s">
        <v>349</v>
      </c>
      <c r="C97" s="791" t="s">
        <v>350</v>
      </c>
      <c r="D97" s="792" t="s">
        <v>529</v>
      </c>
      <c r="E97" s="921"/>
      <c r="F97" s="922"/>
      <c r="G97" s="922"/>
      <c r="H97" s="925"/>
      <c r="I97" s="928"/>
      <c r="J97" s="793"/>
      <c r="K97" s="928"/>
      <c r="L97" s="928"/>
      <c r="M97" s="793"/>
      <c r="N97" s="788">
        <f t="shared" si="55"/>
        <v>2</v>
      </c>
      <c r="O97" s="789">
        <f>O96+0.1</f>
        <v>0.79999999999999993</v>
      </c>
      <c r="P97" s="768">
        <f t="shared" si="56"/>
        <v>161590</v>
      </c>
    </row>
    <row r="98" spans="1:16">
      <c r="A98" s="788" t="s">
        <v>342</v>
      </c>
      <c r="B98" s="794">
        <v>1</v>
      </c>
      <c r="C98" s="795">
        <f>IF(AND(A93&lt;=60%,$A$15="New Construction/Special Needs"),0.6,(IF(AND(A93&lt;&gt;60%,$A$15="Preservation/Rehab"),0.7,(IF(AND(A93=60%,$A$15="Preservation/Rehab"),0.7,0.6)))))</f>
        <v>0.6</v>
      </c>
      <c r="D98" s="796">
        <f>IF($A$93=50%,CEILING(MROUND(MROUND($A$5*50%,50)*$A$93/50%,50)*C98,50),CEILING(MROUND($A$5*50%,50)*C98,50)*$A$93/50%)</f>
        <v>121160</v>
      </c>
      <c r="E98" s="768">
        <f t="shared" ref="E98:E103" si="57">ROUNDDOWN(D98*$A$7/12,0)</f>
        <v>3029</v>
      </c>
      <c r="F98" s="797">
        <f>E98-VLOOKUP(A98,$D$5:$H$10,3,FALSE)</f>
        <v>2955</v>
      </c>
      <c r="G98" s="798">
        <f>E98-VLOOKUP(A98,$D$5:$G$10,2,FALSE)</f>
        <v>2944</v>
      </c>
      <c r="H98" s="768">
        <f>E98-VLOOKUP(A98,$D$5:$H$10,4,FALSE)</f>
        <v>3004</v>
      </c>
      <c r="I98" s="768">
        <f>E98-VLOOKUP(A98,$D$5:$H$10,5,FALSE)</f>
        <v>2930</v>
      </c>
      <c r="J98" s="799"/>
      <c r="K98" s="893">
        <f>F98*12/L5</f>
        <v>88.65</v>
      </c>
      <c r="L98" s="893">
        <f>F98*12/N5</f>
        <v>70.92</v>
      </c>
      <c r="M98" s="799"/>
      <c r="N98" s="788">
        <f t="shared" si="55"/>
        <v>3</v>
      </c>
      <c r="O98" s="789">
        <f>O97+0.1</f>
        <v>0.89999999999999991</v>
      </c>
      <c r="P98" s="768">
        <f t="shared" si="56"/>
        <v>181740</v>
      </c>
    </row>
    <row r="99" spans="1:16">
      <c r="A99" s="788" t="s">
        <v>344</v>
      </c>
      <c r="B99" s="794">
        <v>1.5</v>
      </c>
      <c r="C99" s="795">
        <v>0.75</v>
      </c>
      <c r="D99" s="796">
        <f>AVERAGE(P96:P97)</f>
        <v>151515</v>
      </c>
      <c r="E99" s="768">
        <f t="shared" si="57"/>
        <v>3787</v>
      </c>
      <c r="F99" s="797">
        <f t="shared" ref="F99:F103" si="58">E99-VLOOKUP(A99,$D$5:$H$10,3,FALSE)</f>
        <v>3703</v>
      </c>
      <c r="G99" s="798">
        <f t="shared" ref="G99:G103" si="59">E99-VLOOKUP(A99,$D$5:$G$10,2,FALSE)</f>
        <v>3690</v>
      </c>
      <c r="H99" s="768">
        <f t="shared" ref="H99:H103" si="60">E99-VLOOKUP(A99,$D$5:$H$10,4,FALSE)</f>
        <v>3759</v>
      </c>
      <c r="I99" s="768">
        <f t="shared" ref="I99:I103" si="61">E99-VLOOKUP(A99,$D$5:$H$10,5,FALSE)</f>
        <v>3675</v>
      </c>
      <c r="J99" s="799"/>
      <c r="K99" s="893">
        <f t="shared" ref="K99:K102" si="62">F99*12/L6</f>
        <v>80.792727272727276</v>
      </c>
      <c r="L99" s="893">
        <f t="shared" ref="L99:L102" si="63">F99*12/N6</f>
        <v>68.363076923076918</v>
      </c>
      <c r="M99" s="799"/>
      <c r="N99" s="788">
        <f t="shared" si="55"/>
        <v>4</v>
      </c>
      <c r="O99" s="789">
        <f>O98+0.1</f>
        <v>0.99999999999999989</v>
      </c>
      <c r="P99" s="768">
        <f t="shared" si="56"/>
        <v>201890</v>
      </c>
    </row>
    <row r="100" spans="1:16">
      <c r="A100" s="788" t="s">
        <v>346</v>
      </c>
      <c r="B100" s="794">
        <v>3</v>
      </c>
      <c r="C100" s="795">
        <v>0.9</v>
      </c>
      <c r="D100" s="796">
        <f>IF($A$93=50%,CEILING(MROUND(MROUND($A$5*50%,50)*$A$93/50%,50)*C100,50),CEILING(MROUND($A$5*50%,50)*C100,50)*$A$93/50%)</f>
        <v>181740</v>
      </c>
      <c r="E100" s="768">
        <f t="shared" si="57"/>
        <v>4543</v>
      </c>
      <c r="F100" s="797">
        <f t="shared" si="58"/>
        <v>4434</v>
      </c>
      <c r="G100" s="798">
        <f t="shared" si="59"/>
        <v>4415</v>
      </c>
      <c r="H100" s="768">
        <f t="shared" si="60"/>
        <v>4510</v>
      </c>
      <c r="I100" s="768">
        <f t="shared" si="61"/>
        <v>4401</v>
      </c>
      <c r="J100" s="799"/>
      <c r="K100" s="893">
        <f t="shared" si="62"/>
        <v>73.390344827586205</v>
      </c>
      <c r="L100" s="893">
        <f t="shared" si="63"/>
        <v>66.510000000000005</v>
      </c>
      <c r="M100" s="799"/>
      <c r="N100" s="788">
        <f t="shared" si="55"/>
        <v>5</v>
      </c>
      <c r="O100" s="789">
        <f>O99+0.08</f>
        <v>1.0799999999999998</v>
      </c>
      <c r="P100" s="768">
        <f t="shared" si="56"/>
        <v>218140</v>
      </c>
    </row>
    <row r="101" spans="1:16">
      <c r="A101" s="788" t="s">
        <v>348</v>
      </c>
      <c r="B101" s="794">
        <v>4.5</v>
      </c>
      <c r="C101" s="795">
        <v>1.04</v>
      </c>
      <c r="D101" s="796">
        <f>AVERAGE(P99:P100)</f>
        <v>210015</v>
      </c>
      <c r="E101" s="768">
        <f t="shared" si="57"/>
        <v>5250</v>
      </c>
      <c r="F101" s="797">
        <f t="shared" si="58"/>
        <v>5116</v>
      </c>
      <c r="G101" s="798">
        <f t="shared" si="59"/>
        <v>5091</v>
      </c>
      <c r="H101" s="768">
        <f t="shared" si="60"/>
        <v>5213</v>
      </c>
      <c r="I101" s="768">
        <f t="shared" si="61"/>
        <v>5079</v>
      </c>
      <c r="J101" s="799"/>
      <c r="K101" s="893">
        <f t="shared" si="62"/>
        <v>64.623157894736849</v>
      </c>
      <c r="L101" s="893">
        <f t="shared" si="63"/>
        <v>61.392000000000003</v>
      </c>
      <c r="M101" s="799"/>
      <c r="N101" s="788">
        <f t="shared" si="55"/>
        <v>6</v>
      </c>
      <c r="O101" s="789">
        <f>O100+0.08</f>
        <v>1.1599999999999999</v>
      </c>
      <c r="P101" s="768">
        <f t="shared" si="56"/>
        <v>234260</v>
      </c>
    </row>
    <row r="102" spans="1:16">
      <c r="A102" s="788" t="s">
        <v>515</v>
      </c>
      <c r="B102" s="794">
        <v>6</v>
      </c>
      <c r="C102" s="795">
        <v>1.1599999999999999</v>
      </c>
      <c r="D102" s="796">
        <f>IF($A$93=50%,CEILING(MROUND(MROUND($A$5*50%,50)*$A$93/50%,50)*C102,50),CEILING(MROUND($A$5*50%,50)*C102,50)*$A$93/50%)</f>
        <v>234260</v>
      </c>
      <c r="E102" s="768">
        <f t="shared" si="57"/>
        <v>5856</v>
      </c>
      <c r="F102" s="797">
        <f t="shared" si="58"/>
        <v>5696</v>
      </c>
      <c r="G102" s="798">
        <f t="shared" si="59"/>
        <v>5665</v>
      </c>
      <c r="H102" s="768">
        <f t="shared" si="60"/>
        <v>5814</v>
      </c>
      <c r="I102" s="768">
        <f t="shared" si="61"/>
        <v>5654</v>
      </c>
      <c r="J102" s="799"/>
      <c r="K102" s="893">
        <f t="shared" si="62"/>
        <v>63.583255813953485</v>
      </c>
      <c r="L102" s="893">
        <f t="shared" si="63"/>
        <v>54.681600000000003</v>
      </c>
      <c r="M102" s="799"/>
      <c r="N102" s="788">
        <f>N103-1</f>
        <v>7</v>
      </c>
      <c r="O102" s="789">
        <f>O101+0.08</f>
        <v>1.24</v>
      </c>
      <c r="P102" s="768">
        <f t="shared" si="56"/>
        <v>250380</v>
      </c>
    </row>
    <row r="103" spans="1:16">
      <c r="A103" s="788" t="s">
        <v>516</v>
      </c>
      <c r="B103" s="794">
        <v>7.5</v>
      </c>
      <c r="C103" s="795">
        <f>1.28</f>
        <v>1.28</v>
      </c>
      <c r="D103" s="796">
        <f>AVERAGE(P102:P103)</f>
        <v>258440</v>
      </c>
      <c r="E103" s="768">
        <f t="shared" si="57"/>
        <v>6461</v>
      </c>
      <c r="F103" s="797">
        <f t="shared" si="58"/>
        <v>6275</v>
      </c>
      <c r="G103" s="798">
        <f t="shared" si="59"/>
        <v>6238</v>
      </c>
      <c r="H103" s="768">
        <f t="shared" si="60"/>
        <v>6415</v>
      </c>
      <c r="I103" s="768">
        <f t="shared" si="61"/>
        <v>6229</v>
      </c>
      <c r="J103" s="799"/>
      <c r="K103" s="768" t="s">
        <v>569</v>
      </c>
      <c r="L103" s="768" t="s">
        <v>569</v>
      </c>
      <c r="M103" s="799"/>
      <c r="N103" s="788">
        <v>8</v>
      </c>
      <c r="O103" s="789">
        <f>O102+0.08</f>
        <v>1.32</v>
      </c>
      <c r="P103" s="768">
        <f t="shared" si="56"/>
        <v>266500</v>
      </c>
    </row>
    <row r="105" spans="1:16">
      <c r="A105" s="770">
        <v>1.65</v>
      </c>
      <c r="B105" s="773" t="s">
        <v>522</v>
      </c>
      <c r="C105" s="768">
        <f>IF($A$105=50%,CEILING(MROUND(MROUND($A$5*50%,50)*$A$105/50%,50)*O111,50),CEILING(MROUND($A$5*50%,50)*O111,50)*$A$105/50%)</f>
        <v>256245</v>
      </c>
      <c r="D105" s="774" t="s">
        <v>513</v>
      </c>
      <c r="E105" s="765"/>
      <c r="F105" s="765"/>
      <c r="G105" s="765"/>
      <c r="H105" s="765"/>
      <c r="I105" s="765"/>
      <c r="J105" s="765"/>
      <c r="K105" s="765"/>
      <c r="L105" s="765"/>
      <c r="M105" s="765"/>
      <c r="N105" s="765"/>
      <c r="O105" s="765"/>
    </row>
    <row r="106" spans="1:16">
      <c r="E106" s="775" t="s">
        <v>523</v>
      </c>
      <c r="F106" s="775" t="s">
        <v>523</v>
      </c>
      <c r="G106" s="775" t="s">
        <v>523</v>
      </c>
      <c r="H106" s="775" t="s">
        <v>523</v>
      </c>
      <c r="I106" s="775" t="s">
        <v>523</v>
      </c>
      <c r="K106" s="917" t="s">
        <v>566</v>
      </c>
      <c r="L106" s="918"/>
      <c r="N106" s="776"/>
      <c r="O106" s="777"/>
      <c r="P106" s="778" t="s">
        <v>161</v>
      </c>
    </row>
    <row r="107" spans="1:16" ht="15.75" customHeight="1">
      <c r="A107" s="779"/>
      <c r="B107" s="780"/>
      <c r="C107" s="780"/>
      <c r="D107" s="780"/>
      <c r="E107" s="919" t="s">
        <v>496</v>
      </c>
      <c r="F107" s="922" t="s">
        <v>524</v>
      </c>
      <c r="G107" s="922" t="s">
        <v>510</v>
      </c>
      <c r="H107" s="923" t="s">
        <v>525</v>
      </c>
      <c r="I107" s="926" t="s">
        <v>526</v>
      </c>
      <c r="J107" s="763"/>
      <c r="K107" s="926" t="s">
        <v>567</v>
      </c>
      <c r="L107" s="926" t="s">
        <v>568</v>
      </c>
      <c r="M107" s="763"/>
      <c r="N107" s="781" t="s">
        <v>527</v>
      </c>
      <c r="O107" s="782" t="s">
        <v>528</v>
      </c>
      <c r="P107" s="783" t="s">
        <v>529</v>
      </c>
    </row>
    <row r="108" spans="1:16">
      <c r="A108" s="784"/>
      <c r="B108" s="785"/>
      <c r="C108" s="785"/>
      <c r="D108" s="786" t="s">
        <v>161</v>
      </c>
      <c r="E108" s="920"/>
      <c r="F108" s="922"/>
      <c r="G108" s="922"/>
      <c r="H108" s="924"/>
      <c r="I108" s="927"/>
      <c r="J108" s="787"/>
      <c r="K108" s="927"/>
      <c r="L108" s="927"/>
      <c r="M108" s="787"/>
      <c r="N108" s="788">
        <f t="shared" ref="N108:N113" si="64">N109-1</f>
        <v>1</v>
      </c>
      <c r="O108" s="789">
        <v>0.7</v>
      </c>
      <c r="P108" s="768">
        <f t="shared" ref="P108:P115" si="65">IF($A$105=50%,CEILING(MROUND(MROUND($A$5*50%,50)*$A$105/50%,50)*O108,50),CEILING(MROUND($A$5*50%,50)*O108,50)*$A$105/50%)</f>
        <v>179520</v>
      </c>
    </row>
    <row r="109" spans="1:16">
      <c r="A109" s="892"/>
      <c r="B109" s="790" t="s">
        <v>349</v>
      </c>
      <c r="C109" s="791" t="s">
        <v>350</v>
      </c>
      <c r="D109" s="792" t="s">
        <v>529</v>
      </c>
      <c r="E109" s="921"/>
      <c r="F109" s="922"/>
      <c r="G109" s="922"/>
      <c r="H109" s="925"/>
      <c r="I109" s="928"/>
      <c r="J109" s="793"/>
      <c r="K109" s="928"/>
      <c r="L109" s="928"/>
      <c r="M109" s="793"/>
      <c r="N109" s="788">
        <f t="shared" si="64"/>
        <v>2</v>
      </c>
      <c r="O109" s="789">
        <f>O108+0.1</f>
        <v>0.79999999999999993</v>
      </c>
      <c r="P109" s="768">
        <f t="shared" si="65"/>
        <v>205095</v>
      </c>
    </row>
    <row r="110" spans="1:16">
      <c r="A110" s="788" t="s">
        <v>342</v>
      </c>
      <c r="B110" s="794">
        <v>1</v>
      </c>
      <c r="C110" s="795">
        <f>IF(AND(A105&lt;=60%,$A$15="New Construction/Special Needs"),0.6,(IF(AND(A105&lt;&gt;60%,$A$15="Preservation/Rehab"),0.7,(IF(AND(A105=60%,$A$15="Preservation/Rehab"),0.7,0.6)))))</f>
        <v>0.6</v>
      </c>
      <c r="D110" s="796">
        <f>IF($A$105=50%,CEILING(MROUND(MROUND($A$5*50%,50)*$A$105/50%,50)*C110,50),CEILING(MROUND($A$5*50%,50)*C110,50)*$A$105/50%)</f>
        <v>153780</v>
      </c>
      <c r="E110" s="768">
        <f t="shared" ref="E110:E115" si="66">ROUNDDOWN(D110*$A$7/12,0)</f>
        <v>3844</v>
      </c>
      <c r="F110" s="797">
        <f>E110-VLOOKUP(A110,$D$5:$H$10,3,FALSE)</f>
        <v>3770</v>
      </c>
      <c r="G110" s="798">
        <f>E110-VLOOKUP(A110,$D$5:$G$10,2,FALSE)</f>
        <v>3759</v>
      </c>
      <c r="H110" s="768">
        <f>E110-VLOOKUP(A110,$D$5:$H$10,4,FALSE)</f>
        <v>3819</v>
      </c>
      <c r="I110" s="768">
        <f>E110-VLOOKUP(A110,$D$5:$H$10,5,FALSE)</f>
        <v>3745</v>
      </c>
      <c r="J110" s="799"/>
      <c r="K110" s="893">
        <f>F110*12/L5</f>
        <v>113.1</v>
      </c>
      <c r="L110" s="893">
        <f>F110*12/N5</f>
        <v>90.48</v>
      </c>
      <c r="M110" s="799"/>
      <c r="N110" s="788">
        <f t="shared" si="64"/>
        <v>3</v>
      </c>
      <c r="O110" s="789">
        <f>O109+0.1</f>
        <v>0.89999999999999991</v>
      </c>
      <c r="P110" s="768">
        <f t="shared" si="65"/>
        <v>230670</v>
      </c>
    </row>
    <row r="111" spans="1:16">
      <c r="A111" s="788" t="s">
        <v>344</v>
      </c>
      <c r="B111" s="794">
        <v>1.5</v>
      </c>
      <c r="C111" s="795">
        <v>0.75</v>
      </c>
      <c r="D111" s="796">
        <f>AVERAGE(P108:P109)</f>
        <v>192307.5</v>
      </c>
      <c r="E111" s="768">
        <f t="shared" si="66"/>
        <v>4807</v>
      </c>
      <c r="F111" s="797">
        <f t="shared" ref="F111:F115" si="67">E111-VLOOKUP(A111,$D$5:$H$10,3,FALSE)</f>
        <v>4723</v>
      </c>
      <c r="G111" s="798">
        <f t="shared" ref="G111:G115" si="68">E111-VLOOKUP(A111,$D$5:$G$10,2,FALSE)</f>
        <v>4710</v>
      </c>
      <c r="H111" s="768">
        <f t="shared" ref="H111:H115" si="69">E111-VLOOKUP(A111,$D$5:$H$10,4,FALSE)</f>
        <v>4779</v>
      </c>
      <c r="I111" s="768">
        <f t="shared" ref="I111:I115" si="70">E111-VLOOKUP(A111,$D$5:$H$10,5,FALSE)</f>
        <v>4695</v>
      </c>
      <c r="J111" s="799"/>
      <c r="K111" s="893">
        <f t="shared" ref="K111:K114" si="71">F111*12/L6</f>
        <v>103.04727272727273</v>
      </c>
      <c r="L111" s="893">
        <f t="shared" ref="L111:L114" si="72">F111*12/N6</f>
        <v>87.193846153846152</v>
      </c>
      <c r="M111" s="799"/>
      <c r="N111" s="788">
        <f t="shared" si="64"/>
        <v>4</v>
      </c>
      <c r="O111" s="789">
        <f>O110+0.1</f>
        <v>0.99999999999999989</v>
      </c>
      <c r="P111" s="768">
        <f t="shared" si="65"/>
        <v>256245</v>
      </c>
    </row>
    <row r="112" spans="1:16">
      <c r="A112" s="788" t="s">
        <v>346</v>
      </c>
      <c r="B112" s="794">
        <v>3</v>
      </c>
      <c r="C112" s="795">
        <v>0.9</v>
      </c>
      <c r="D112" s="796">
        <f>IF($A$105=50%,CEILING(MROUND(MROUND($A$5*50%,50)*$A$105/50%,50)*C112,50),CEILING(MROUND($A$5*50%,50)*C112,50)*$A$105/50%)</f>
        <v>230670</v>
      </c>
      <c r="E112" s="768">
        <f t="shared" si="66"/>
        <v>5766</v>
      </c>
      <c r="F112" s="797">
        <f t="shared" si="67"/>
        <v>5657</v>
      </c>
      <c r="G112" s="798">
        <f t="shared" si="68"/>
        <v>5638</v>
      </c>
      <c r="H112" s="768">
        <f t="shared" si="69"/>
        <v>5733</v>
      </c>
      <c r="I112" s="768">
        <f t="shared" si="70"/>
        <v>5624</v>
      </c>
      <c r="J112" s="799"/>
      <c r="K112" s="893">
        <f t="shared" si="71"/>
        <v>93.633103448275861</v>
      </c>
      <c r="L112" s="893">
        <f t="shared" si="72"/>
        <v>84.855000000000004</v>
      </c>
      <c r="M112" s="799"/>
      <c r="N112" s="788">
        <f t="shared" si="64"/>
        <v>5</v>
      </c>
      <c r="O112" s="789">
        <f>O111+0.08</f>
        <v>1.0799999999999998</v>
      </c>
      <c r="P112" s="768">
        <f t="shared" si="65"/>
        <v>276870</v>
      </c>
    </row>
    <row r="113" spans="1:16">
      <c r="A113" s="788" t="s">
        <v>348</v>
      </c>
      <c r="B113" s="794">
        <v>4.5</v>
      </c>
      <c r="C113" s="795">
        <v>1.04</v>
      </c>
      <c r="D113" s="796">
        <f>AVERAGE(P111:P112)</f>
        <v>266557.5</v>
      </c>
      <c r="E113" s="768">
        <f t="shared" si="66"/>
        <v>6663</v>
      </c>
      <c r="F113" s="797">
        <f t="shared" si="67"/>
        <v>6529</v>
      </c>
      <c r="G113" s="798">
        <f t="shared" si="68"/>
        <v>6504</v>
      </c>
      <c r="H113" s="768">
        <f t="shared" si="69"/>
        <v>6626</v>
      </c>
      <c r="I113" s="768">
        <f t="shared" si="70"/>
        <v>6492</v>
      </c>
      <c r="J113" s="799"/>
      <c r="K113" s="893">
        <f t="shared" si="71"/>
        <v>82.471578947368414</v>
      </c>
      <c r="L113" s="893">
        <f t="shared" si="72"/>
        <v>78.347999999999999</v>
      </c>
      <c r="M113" s="799"/>
      <c r="N113" s="788">
        <f t="shared" si="64"/>
        <v>6</v>
      </c>
      <c r="O113" s="789">
        <f>O112+0.08</f>
        <v>1.1599999999999999</v>
      </c>
      <c r="P113" s="768">
        <f t="shared" si="65"/>
        <v>297330</v>
      </c>
    </row>
    <row r="114" spans="1:16">
      <c r="A114" s="788" t="s">
        <v>515</v>
      </c>
      <c r="B114" s="794">
        <v>6</v>
      </c>
      <c r="C114" s="795">
        <v>1.1599999999999999</v>
      </c>
      <c r="D114" s="796">
        <f>IF($A$105=50%,CEILING(MROUND(MROUND($A$5*50%,50)*$A$105/50%,50)*C114,50),CEILING(MROUND($A$5*50%,50)*C114,50)*$A$105/50%)</f>
        <v>297330</v>
      </c>
      <c r="E114" s="768">
        <f t="shared" si="66"/>
        <v>7433</v>
      </c>
      <c r="F114" s="797">
        <f t="shared" si="67"/>
        <v>7273</v>
      </c>
      <c r="G114" s="798">
        <f t="shared" si="68"/>
        <v>7242</v>
      </c>
      <c r="H114" s="768">
        <f t="shared" si="69"/>
        <v>7391</v>
      </c>
      <c r="I114" s="768">
        <f t="shared" si="70"/>
        <v>7231</v>
      </c>
      <c r="J114" s="799"/>
      <c r="K114" s="893">
        <f t="shared" si="71"/>
        <v>81.18697674418604</v>
      </c>
      <c r="L114" s="893">
        <f t="shared" si="72"/>
        <v>69.820800000000006</v>
      </c>
      <c r="M114" s="799"/>
      <c r="N114" s="788">
        <f>N115-1</f>
        <v>7</v>
      </c>
      <c r="O114" s="789">
        <f>O113+0.08</f>
        <v>1.24</v>
      </c>
      <c r="P114" s="768">
        <f t="shared" si="65"/>
        <v>317790</v>
      </c>
    </row>
    <row r="115" spans="1:16">
      <c r="A115" s="788" t="s">
        <v>516</v>
      </c>
      <c r="B115" s="794">
        <v>7.5</v>
      </c>
      <c r="C115" s="795">
        <f>1.28</f>
        <v>1.28</v>
      </c>
      <c r="D115" s="796">
        <f>AVERAGE(P114:P115)</f>
        <v>328020</v>
      </c>
      <c r="E115" s="768">
        <f t="shared" si="66"/>
        <v>8200</v>
      </c>
      <c r="F115" s="797">
        <f t="shared" si="67"/>
        <v>8014</v>
      </c>
      <c r="G115" s="798">
        <f t="shared" si="68"/>
        <v>7977</v>
      </c>
      <c r="H115" s="768">
        <f t="shared" si="69"/>
        <v>8154</v>
      </c>
      <c r="I115" s="768">
        <f t="shared" si="70"/>
        <v>7968</v>
      </c>
      <c r="J115" s="799"/>
      <c r="K115" s="768" t="s">
        <v>569</v>
      </c>
      <c r="L115" s="768" t="s">
        <v>569</v>
      </c>
      <c r="M115" s="799"/>
      <c r="N115" s="788">
        <v>8</v>
      </c>
      <c r="O115" s="789">
        <f>O114+0.08</f>
        <v>1.32</v>
      </c>
      <c r="P115" s="768">
        <f t="shared" si="65"/>
        <v>338250</v>
      </c>
    </row>
  </sheetData>
  <mergeCells count="68">
    <mergeCell ref="K3:O3"/>
    <mergeCell ref="A14:C14"/>
    <mergeCell ref="P14:P17"/>
    <mergeCell ref="A15:C15"/>
    <mergeCell ref="K19:L19"/>
    <mergeCell ref="K20:K22"/>
    <mergeCell ref="L20:L22"/>
    <mergeCell ref="K31:L31"/>
    <mergeCell ref="E32:E34"/>
    <mergeCell ref="F32:F34"/>
    <mergeCell ref="G32:G34"/>
    <mergeCell ref="H32:H34"/>
    <mergeCell ref="I32:I34"/>
    <mergeCell ref="K32:K34"/>
    <mergeCell ref="L32:L34"/>
    <mergeCell ref="E20:E22"/>
    <mergeCell ref="F20:F22"/>
    <mergeCell ref="G20:G22"/>
    <mergeCell ref="H20:H22"/>
    <mergeCell ref="I20:I22"/>
    <mergeCell ref="K44:L44"/>
    <mergeCell ref="E45:E47"/>
    <mergeCell ref="F45:F47"/>
    <mergeCell ref="G45:G47"/>
    <mergeCell ref="H45:H47"/>
    <mergeCell ref="I45:I47"/>
    <mergeCell ref="K45:K47"/>
    <mergeCell ref="L45:L47"/>
    <mergeCell ref="K57:L57"/>
    <mergeCell ref="E58:E60"/>
    <mergeCell ref="F58:F60"/>
    <mergeCell ref="G58:G60"/>
    <mergeCell ref="H58:H60"/>
    <mergeCell ref="I58:I60"/>
    <mergeCell ref="K58:K60"/>
    <mergeCell ref="L58:L60"/>
    <mergeCell ref="K70:L70"/>
    <mergeCell ref="E71:E73"/>
    <mergeCell ref="F71:F73"/>
    <mergeCell ref="G71:G73"/>
    <mergeCell ref="H71:H73"/>
    <mergeCell ref="I71:I73"/>
    <mergeCell ref="K71:K73"/>
    <mergeCell ref="L71:L73"/>
    <mergeCell ref="K82:L82"/>
    <mergeCell ref="E83:E85"/>
    <mergeCell ref="F83:F85"/>
    <mergeCell ref="G83:G85"/>
    <mergeCell ref="H83:H85"/>
    <mergeCell ref="I83:I85"/>
    <mergeCell ref="K83:K85"/>
    <mergeCell ref="L83:L85"/>
    <mergeCell ref="K94:L94"/>
    <mergeCell ref="E95:E97"/>
    <mergeCell ref="F95:F97"/>
    <mergeCell ref="G95:G97"/>
    <mergeCell ref="H95:H97"/>
    <mergeCell ref="I95:I97"/>
    <mergeCell ref="K95:K97"/>
    <mergeCell ref="L95:L97"/>
    <mergeCell ref="K106:L106"/>
    <mergeCell ref="E107:E109"/>
    <mergeCell ref="F107:F109"/>
    <mergeCell ref="G107:G109"/>
    <mergeCell ref="H107:H109"/>
    <mergeCell ref="I107:I109"/>
    <mergeCell ref="K107:K109"/>
    <mergeCell ref="L107:L109"/>
  </mergeCells>
  <conditionalFormatting sqref="C23">
    <cfRule type="expression" dxfId="7" priority="8">
      <formula>C23&lt;0.7</formula>
    </cfRule>
  </conditionalFormatting>
  <conditionalFormatting sqref="C35">
    <cfRule type="expression" dxfId="6" priority="7">
      <formula>C35&lt;0.7</formula>
    </cfRule>
  </conditionalFormatting>
  <conditionalFormatting sqref="C48">
    <cfRule type="expression" dxfId="5" priority="6">
      <formula>C48&lt;0.7</formula>
    </cfRule>
  </conditionalFormatting>
  <conditionalFormatting sqref="C61">
    <cfRule type="expression" dxfId="4" priority="5">
      <formula>C61&lt;0.7</formula>
    </cfRule>
  </conditionalFormatting>
  <conditionalFormatting sqref="C74">
    <cfRule type="expression" dxfId="3" priority="4">
      <formula>C74&lt;0.7</formula>
    </cfRule>
  </conditionalFormatting>
  <conditionalFormatting sqref="C86">
    <cfRule type="expression" dxfId="2" priority="3">
      <formula>C86&lt;0.7</formula>
    </cfRule>
  </conditionalFormatting>
  <conditionalFormatting sqref="C98">
    <cfRule type="expression" dxfId="1" priority="2">
      <formula>C98&lt;0.7</formula>
    </cfRule>
  </conditionalFormatting>
  <conditionalFormatting sqref="C110">
    <cfRule type="expression" dxfId="0" priority="1">
      <formula>C110&lt;0.7</formula>
    </cfRule>
  </conditionalFormatting>
  <dataValidations count="1">
    <dataValidation type="list" allowBlank="1" showInputMessage="1" showErrorMessage="1" sqref="A15" xr:uid="{3B9A8648-8562-4BE3-BC4A-CA76B8D267E0}">
      <formula1>ProjectType</formula1>
    </dataValidation>
  </dataValidations>
  <pageMargins left="0.5" right="0.5" top="0.5" bottom="0.5" header="0.5" footer="0.5"/>
  <pageSetup paperSize="5" scale="49" orientation="portrait" r:id="rId1"/>
  <headerFooter alignWithMargins="0"/>
  <colBreaks count="1" manualBreakCount="1">
    <brk id="15" max="3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D21F1-7A31-49FB-90B1-F7D2464B0D61}">
  <dimension ref="A1"/>
  <sheetViews>
    <sheetView workbookViewId="0"/>
  </sheetViews>
  <sheetFormatPr defaultRowHeight="15"/>
  <cols>
    <col min="1" max="16384" width="8.88671875" style="762"/>
  </cols>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V54"/>
  <sheetViews>
    <sheetView zoomScale="55" zoomScaleNormal="55" workbookViewId="0">
      <selection activeCell="E9" sqref="E9"/>
    </sheetView>
  </sheetViews>
  <sheetFormatPr defaultColWidth="7.109375" defaultRowHeight="12.75"/>
  <cols>
    <col min="1" max="1" width="17.5546875" style="427" customWidth="1"/>
    <col min="2" max="2" width="14.77734375" style="427" customWidth="1"/>
    <col min="3" max="3" width="13.5546875" style="427" customWidth="1"/>
    <col min="4" max="4" width="1.21875" style="427" customWidth="1"/>
    <col min="5" max="5" width="13.6640625" style="427" customWidth="1"/>
    <col min="6" max="6" width="1.21875" style="427" customWidth="1"/>
    <col min="7" max="7" width="13.88671875" style="427" customWidth="1"/>
    <col min="8" max="8" width="1.21875" style="427" customWidth="1"/>
    <col min="9" max="9" width="10.33203125" style="427" customWidth="1"/>
    <col min="10" max="16384" width="7.109375" style="427"/>
  </cols>
  <sheetData>
    <row r="1" spans="1:256" s="429" customFormat="1" ht="13.15">
      <c r="A1" s="429" t="str">
        <f>'Sources and Use'!A1</f>
        <v xml:space="preserve">Project Name: </v>
      </c>
      <c r="G1" s="489" t="str">
        <f>'Sources and Use'!C2</f>
        <v>Units:</v>
      </c>
      <c r="I1" s="429">
        <f>'Units &amp; Income'!C23</f>
        <v>0</v>
      </c>
      <c r="BQ1" s="429" t="s">
        <v>254</v>
      </c>
      <c r="BR1" s="429" t="s">
        <v>254</v>
      </c>
      <c r="BS1" s="429" t="s">
        <v>254</v>
      </c>
      <c r="BT1" s="429" t="s">
        <v>254</v>
      </c>
      <c r="BU1" s="429" t="s">
        <v>254</v>
      </c>
      <c r="BV1" s="429" t="s">
        <v>254</v>
      </c>
      <c r="BW1" s="429" t="s">
        <v>254</v>
      </c>
      <c r="BX1" s="429" t="s">
        <v>254</v>
      </c>
      <c r="BY1" s="429" t="s">
        <v>254</v>
      </c>
      <c r="BZ1" s="429" t="s">
        <v>254</v>
      </c>
      <c r="CA1" s="429" t="s">
        <v>254</v>
      </c>
      <c r="CB1" s="429" t="s">
        <v>254</v>
      </c>
      <c r="CC1" s="429" t="s">
        <v>254</v>
      </c>
      <c r="CD1" s="429" t="s">
        <v>254</v>
      </c>
      <c r="CE1" s="429" t="s">
        <v>254</v>
      </c>
      <c r="CF1" s="429" t="s">
        <v>254</v>
      </c>
      <c r="CG1" s="429" t="s">
        <v>254</v>
      </c>
      <c r="CH1" s="429" t="s">
        <v>254</v>
      </c>
      <c r="CI1" s="429" t="s">
        <v>254</v>
      </c>
      <c r="CJ1" s="429" t="s">
        <v>254</v>
      </c>
      <c r="CK1" s="429" t="s">
        <v>254</v>
      </c>
      <c r="CL1" s="429" t="s">
        <v>254</v>
      </c>
      <c r="CM1" s="429" t="s">
        <v>254</v>
      </c>
      <c r="CN1" s="429" t="s">
        <v>254</v>
      </c>
      <c r="CO1" s="429" t="s">
        <v>254</v>
      </c>
      <c r="CP1" s="429" t="s">
        <v>254</v>
      </c>
      <c r="CQ1" s="429" t="s">
        <v>254</v>
      </c>
      <c r="CR1" s="429" t="s">
        <v>254</v>
      </c>
      <c r="CS1" s="429" t="s">
        <v>254</v>
      </c>
      <c r="CT1" s="429" t="s">
        <v>254</v>
      </c>
      <c r="CU1" s="429" t="s">
        <v>254</v>
      </c>
      <c r="CV1" s="429" t="s">
        <v>254</v>
      </c>
      <c r="CW1" s="429" t="s">
        <v>254</v>
      </c>
      <c r="CX1" s="429" t="s">
        <v>254</v>
      </c>
      <c r="CY1" s="429" t="s">
        <v>254</v>
      </c>
      <c r="CZ1" s="429" t="s">
        <v>254</v>
      </c>
      <c r="DA1" s="429" t="s">
        <v>254</v>
      </c>
      <c r="DB1" s="429" t="s">
        <v>254</v>
      </c>
      <c r="DC1" s="429" t="s">
        <v>254</v>
      </c>
      <c r="DD1" s="429" t="s">
        <v>254</v>
      </c>
      <c r="DE1" s="429" t="s">
        <v>254</v>
      </c>
      <c r="DF1" s="429" t="s">
        <v>254</v>
      </c>
      <c r="DG1" s="429" t="s">
        <v>254</v>
      </c>
      <c r="DH1" s="429" t="s">
        <v>254</v>
      </c>
      <c r="DI1" s="429" t="s">
        <v>254</v>
      </c>
      <c r="DJ1" s="429" t="s">
        <v>254</v>
      </c>
      <c r="DK1" s="429" t="s">
        <v>254</v>
      </c>
      <c r="DL1" s="429" t="s">
        <v>254</v>
      </c>
      <c r="DM1" s="429" t="s">
        <v>254</v>
      </c>
      <c r="DN1" s="429" t="s">
        <v>254</v>
      </c>
      <c r="DO1" s="429" t="s">
        <v>254</v>
      </c>
      <c r="DP1" s="429" t="s">
        <v>254</v>
      </c>
      <c r="DQ1" s="429" t="s">
        <v>254</v>
      </c>
      <c r="DR1" s="429" t="s">
        <v>254</v>
      </c>
      <c r="DS1" s="429" t="s">
        <v>254</v>
      </c>
      <c r="DT1" s="429" t="s">
        <v>254</v>
      </c>
      <c r="DU1" s="429" t="s">
        <v>254</v>
      </c>
      <c r="DV1" s="429" t="s">
        <v>254</v>
      </c>
      <c r="DW1" s="429" t="s">
        <v>254</v>
      </c>
      <c r="DX1" s="429" t="s">
        <v>254</v>
      </c>
      <c r="DY1" s="429" t="s">
        <v>254</v>
      </c>
      <c r="DZ1" s="429" t="s">
        <v>254</v>
      </c>
      <c r="EA1" s="429" t="s">
        <v>254</v>
      </c>
      <c r="EB1" s="429" t="s">
        <v>254</v>
      </c>
      <c r="EC1" s="429" t="s">
        <v>254</v>
      </c>
      <c r="ED1" s="429" t="s">
        <v>254</v>
      </c>
      <c r="EE1" s="429" t="s">
        <v>254</v>
      </c>
      <c r="EF1" s="429" t="s">
        <v>254</v>
      </c>
      <c r="EG1" s="429" t="s">
        <v>254</v>
      </c>
      <c r="EH1" s="429" t="s">
        <v>254</v>
      </c>
      <c r="EI1" s="429" t="s">
        <v>254</v>
      </c>
      <c r="EJ1" s="429" t="s">
        <v>254</v>
      </c>
      <c r="EK1" s="429" t="s">
        <v>254</v>
      </c>
      <c r="EL1" s="429" t="s">
        <v>254</v>
      </c>
      <c r="EM1" s="429" t="s">
        <v>254</v>
      </c>
      <c r="EN1" s="429" t="s">
        <v>254</v>
      </c>
      <c r="EO1" s="429" t="s">
        <v>254</v>
      </c>
      <c r="EP1" s="429" t="s">
        <v>254</v>
      </c>
      <c r="EQ1" s="429" t="s">
        <v>254</v>
      </c>
      <c r="ER1" s="429" t="s">
        <v>254</v>
      </c>
      <c r="ES1" s="429" t="s">
        <v>254</v>
      </c>
      <c r="ET1" s="429" t="s">
        <v>254</v>
      </c>
      <c r="EU1" s="429" t="s">
        <v>254</v>
      </c>
      <c r="EV1" s="429" t="s">
        <v>254</v>
      </c>
      <c r="EW1" s="429" t="s">
        <v>254</v>
      </c>
      <c r="EX1" s="429" t="s">
        <v>254</v>
      </c>
      <c r="EY1" s="429" t="s">
        <v>254</v>
      </c>
      <c r="EZ1" s="429" t="s">
        <v>254</v>
      </c>
      <c r="FA1" s="429" t="s">
        <v>254</v>
      </c>
      <c r="FB1" s="429" t="s">
        <v>254</v>
      </c>
      <c r="FC1" s="429" t="s">
        <v>254</v>
      </c>
      <c r="FD1" s="429" t="s">
        <v>254</v>
      </c>
      <c r="FE1" s="429" t="s">
        <v>254</v>
      </c>
      <c r="FF1" s="429" t="s">
        <v>254</v>
      </c>
      <c r="FG1" s="429" t="s">
        <v>254</v>
      </c>
      <c r="FH1" s="429" t="s">
        <v>254</v>
      </c>
      <c r="FI1" s="429" t="s">
        <v>254</v>
      </c>
      <c r="FJ1" s="429" t="s">
        <v>254</v>
      </c>
      <c r="FK1" s="429" t="s">
        <v>254</v>
      </c>
      <c r="FL1" s="429" t="s">
        <v>254</v>
      </c>
      <c r="FM1" s="429" t="s">
        <v>254</v>
      </c>
      <c r="FN1" s="429" t="s">
        <v>254</v>
      </c>
      <c r="FO1" s="429" t="s">
        <v>254</v>
      </c>
      <c r="FP1" s="429" t="s">
        <v>254</v>
      </c>
      <c r="FQ1" s="429" t="s">
        <v>254</v>
      </c>
      <c r="FR1" s="429" t="s">
        <v>254</v>
      </c>
      <c r="FS1" s="429" t="s">
        <v>254</v>
      </c>
      <c r="FT1" s="429" t="s">
        <v>254</v>
      </c>
      <c r="FU1" s="429" t="s">
        <v>254</v>
      </c>
      <c r="FV1" s="429" t="s">
        <v>254</v>
      </c>
      <c r="FW1" s="429" t="s">
        <v>254</v>
      </c>
      <c r="FX1" s="429" t="s">
        <v>254</v>
      </c>
      <c r="FY1" s="429" t="s">
        <v>254</v>
      </c>
      <c r="FZ1" s="429" t="s">
        <v>254</v>
      </c>
      <c r="GA1" s="429" t="s">
        <v>254</v>
      </c>
      <c r="GB1" s="429" t="s">
        <v>254</v>
      </c>
      <c r="GC1" s="429" t="s">
        <v>254</v>
      </c>
      <c r="GD1" s="429" t="s">
        <v>254</v>
      </c>
      <c r="GE1" s="429" t="s">
        <v>254</v>
      </c>
      <c r="GF1" s="429" t="s">
        <v>254</v>
      </c>
      <c r="GG1" s="429" t="s">
        <v>254</v>
      </c>
      <c r="GH1" s="429" t="s">
        <v>254</v>
      </c>
      <c r="GI1" s="429" t="s">
        <v>254</v>
      </c>
      <c r="GJ1" s="429" t="s">
        <v>254</v>
      </c>
      <c r="GK1" s="429" t="s">
        <v>254</v>
      </c>
      <c r="GL1" s="429" t="s">
        <v>254</v>
      </c>
      <c r="GM1" s="429" t="s">
        <v>254</v>
      </c>
      <c r="GN1" s="429" t="s">
        <v>254</v>
      </c>
      <c r="GO1" s="429" t="s">
        <v>254</v>
      </c>
      <c r="GP1" s="429" t="s">
        <v>254</v>
      </c>
      <c r="GQ1" s="429" t="s">
        <v>254</v>
      </c>
      <c r="GR1" s="429" t="s">
        <v>254</v>
      </c>
      <c r="GS1" s="429" t="s">
        <v>254</v>
      </c>
      <c r="GT1" s="429" t="s">
        <v>254</v>
      </c>
      <c r="GU1" s="429" t="s">
        <v>254</v>
      </c>
      <c r="GV1" s="429" t="s">
        <v>254</v>
      </c>
      <c r="GW1" s="429" t="s">
        <v>254</v>
      </c>
      <c r="GX1" s="429" t="s">
        <v>254</v>
      </c>
      <c r="GY1" s="429" t="s">
        <v>254</v>
      </c>
      <c r="GZ1" s="429" t="s">
        <v>254</v>
      </c>
      <c r="HA1" s="429" t="s">
        <v>254</v>
      </c>
      <c r="HB1" s="429" t="s">
        <v>254</v>
      </c>
      <c r="HC1" s="429" t="s">
        <v>254</v>
      </c>
      <c r="HD1" s="429" t="s">
        <v>254</v>
      </c>
      <c r="HE1" s="429" t="s">
        <v>254</v>
      </c>
      <c r="HF1" s="429" t="s">
        <v>254</v>
      </c>
      <c r="HG1" s="429" t="s">
        <v>254</v>
      </c>
      <c r="HH1" s="429" t="s">
        <v>254</v>
      </c>
      <c r="HI1" s="429" t="s">
        <v>254</v>
      </c>
      <c r="HJ1" s="429" t="s">
        <v>254</v>
      </c>
      <c r="HK1" s="429" t="s">
        <v>254</v>
      </c>
      <c r="HL1" s="429" t="s">
        <v>254</v>
      </c>
      <c r="HM1" s="429" t="s">
        <v>254</v>
      </c>
      <c r="HN1" s="429" t="s">
        <v>254</v>
      </c>
      <c r="HO1" s="429" t="s">
        <v>254</v>
      </c>
      <c r="HP1" s="429" t="s">
        <v>254</v>
      </c>
      <c r="HQ1" s="429" t="s">
        <v>254</v>
      </c>
      <c r="HR1" s="429" t="s">
        <v>254</v>
      </c>
      <c r="HS1" s="429" t="s">
        <v>254</v>
      </c>
      <c r="HT1" s="429" t="s">
        <v>254</v>
      </c>
      <c r="HU1" s="429" t="s">
        <v>254</v>
      </c>
      <c r="HV1" s="429" t="s">
        <v>254</v>
      </c>
      <c r="HW1" s="429" t="s">
        <v>254</v>
      </c>
      <c r="HX1" s="429" t="s">
        <v>254</v>
      </c>
      <c r="HY1" s="429" t="s">
        <v>254</v>
      </c>
      <c r="HZ1" s="429" t="s">
        <v>254</v>
      </c>
      <c r="IA1" s="429" t="s">
        <v>254</v>
      </c>
      <c r="IB1" s="429" t="s">
        <v>254</v>
      </c>
      <c r="IC1" s="429" t="s">
        <v>254</v>
      </c>
      <c r="ID1" s="429" t="s">
        <v>254</v>
      </c>
      <c r="IE1" s="429" t="s">
        <v>254</v>
      </c>
      <c r="IF1" s="429" t="s">
        <v>254</v>
      </c>
      <c r="IG1" s="429" t="s">
        <v>254</v>
      </c>
      <c r="IH1" s="429" t="s">
        <v>254</v>
      </c>
      <c r="II1" s="429" t="s">
        <v>254</v>
      </c>
      <c r="IJ1" s="429" t="s">
        <v>254</v>
      </c>
      <c r="IK1" s="429" t="s">
        <v>254</v>
      </c>
      <c r="IL1" s="429" t="s">
        <v>254</v>
      </c>
      <c r="IM1" s="429" t="s">
        <v>254</v>
      </c>
      <c r="IN1" s="429" t="s">
        <v>254</v>
      </c>
      <c r="IO1" s="429" t="s">
        <v>254</v>
      </c>
      <c r="IP1" s="429" t="s">
        <v>254</v>
      </c>
      <c r="IQ1" s="429" t="s">
        <v>254</v>
      </c>
      <c r="IR1" s="429" t="s">
        <v>254</v>
      </c>
      <c r="IS1" s="429" t="s">
        <v>254</v>
      </c>
      <c r="IT1" s="429" t="s">
        <v>254</v>
      </c>
      <c r="IU1" s="429" t="s">
        <v>254</v>
      </c>
      <c r="IV1" s="429" t="s">
        <v>254</v>
      </c>
    </row>
    <row r="2" spans="1:256" s="491" customFormat="1" ht="20.25" customHeight="1">
      <c r="A2" s="429" t="str">
        <f>'Sources and Use'!A2</f>
        <v>Site:</v>
      </c>
      <c r="B2" s="488"/>
      <c r="C2" s="490"/>
      <c r="D2" s="490"/>
      <c r="E2" s="490"/>
      <c r="F2" s="490"/>
      <c r="G2" s="490"/>
      <c r="H2" s="490"/>
      <c r="I2" s="490"/>
    </row>
    <row r="3" spans="1:256" ht="36.75" customHeight="1">
      <c r="A3" s="915" t="s">
        <v>324</v>
      </c>
      <c r="B3" s="915"/>
      <c r="C3" s="916"/>
      <c r="D3" s="916"/>
      <c r="E3" s="916"/>
      <c r="F3" s="916"/>
      <c r="G3" s="916"/>
      <c r="H3" s="916"/>
      <c r="I3" s="916"/>
    </row>
    <row r="4" spans="1:256" ht="7.5" customHeight="1">
      <c r="A4" s="438"/>
      <c r="B4" s="438"/>
      <c r="C4" s="439"/>
      <c r="D4" s="439"/>
      <c r="E4" s="439"/>
      <c r="F4" s="439"/>
      <c r="G4" s="439"/>
      <c r="H4" s="439"/>
      <c r="I4" s="439"/>
    </row>
    <row r="5" spans="1:256" ht="20.25" customHeight="1">
      <c r="C5" s="440" t="s">
        <v>298</v>
      </c>
      <c r="D5" s="441"/>
      <c r="E5" s="440" t="s">
        <v>299</v>
      </c>
      <c r="F5" s="441"/>
      <c r="G5" s="440" t="s">
        <v>300</v>
      </c>
      <c r="H5" s="442"/>
      <c r="I5" s="443" t="s">
        <v>301</v>
      </c>
    </row>
    <row r="6" spans="1:256" ht="18" customHeight="1">
      <c r="A6" s="444" t="s">
        <v>302</v>
      </c>
      <c r="B6" s="445"/>
      <c r="C6" s="446" t="s">
        <v>303</v>
      </c>
      <c r="D6" s="447"/>
      <c r="E6" s="446" t="s">
        <v>303</v>
      </c>
      <c r="F6" s="447"/>
      <c r="G6" s="446" t="s">
        <v>303</v>
      </c>
      <c r="H6" s="448"/>
      <c r="I6" s="449" t="s">
        <v>304</v>
      </c>
    </row>
    <row r="7" spans="1:256" ht="18" customHeight="1">
      <c r="A7" s="943" t="s">
        <v>305</v>
      </c>
      <c r="B7" s="943"/>
      <c r="C7" s="450"/>
      <c r="D7" s="451"/>
      <c r="E7" s="450"/>
      <c r="F7" s="451"/>
      <c r="G7" s="450"/>
      <c r="H7" s="426"/>
      <c r="I7" s="452">
        <f>SUM(C7:G7)</f>
        <v>0</v>
      </c>
    </row>
    <row r="8" spans="1:256" ht="18" customHeight="1">
      <c r="A8" s="943" t="s">
        <v>184</v>
      </c>
      <c r="B8" s="943"/>
      <c r="C8" s="450"/>
      <c r="D8" s="451"/>
      <c r="E8" s="450"/>
      <c r="F8" s="451"/>
      <c r="G8" s="450"/>
      <c r="H8" s="426"/>
      <c r="I8" s="452">
        <f>SUM(C8:G8)</f>
        <v>0</v>
      </c>
    </row>
    <row r="9" spans="1:256" ht="18" customHeight="1">
      <c r="A9" s="943" t="s">
        <v>306</v>
      </c>
      <c r="B9" s="943"/>
      <c r="C9" s="450"/>
      <c r="D9" s="451"/>
      <c r="E9" s="450"/>
      <c r="F9" s="451"/>
      <c r="G9" s="450"/>
      <c r="H9" s="426"/>
      <c r="I9" s="452">
        <f>SUM(C9:G9)</f>
        <v>0</v>
      </c>
    </row>
    <row r="10" spans="1:256" ht="18" customHeight="1">
      <c r="A10" s="943" t="s">
        <v>307</v>
      </c>
      <c r="B10" s="943"/>
      <c r="C10" s="450"/>
      <c r="D10" s="451"/>
      <c r="E10" s="450"/>
      <c r="F10" s="451"/>
      <c r="G10" s="450"/>
      <c r="H10" s="426"/>
      <c r="I10" s="452">
        <f>SUM(C10:G10)</f>
        <v>0</v>
      </c>
    </row>
    <row r="11" spans="1:256" ht="20.25" customHeight="1">
      <c r="A11" s="427" t="s">
        <v>302</v>
      </c>
      <c r="C11" s="453">
        <f>SUM(C7:C10)</f>
        <v>0</v>
      </c>
      <c r="D11" s="454"/>
      <c r="E11" s="453">
        <f>SUM(E7:E10)</f>
        <v>0</v>
      </c>
      <c r="F11" s="454"/>
      <c r="G11" s="453">
        <f>SUM(G7:G10)</f>
        <v>0</v>
      </c>
      <c r="H11" s="455"/>
      <c r="I11" s="453">
        <f>SUM(I7:I10)</f>
        <v>0</v>
      </c>
    </row>
    <row r="12" spans="1:256" ht="16.5" customHeight="1">
      <c r="C12" s="426"/>
      <c r="D12" s="451"/>
      <c r="E12" s="426"/>
      <c r="F12" s="451"/>
      <c r="G12" s="426"/>
      <c r="H12" s="426"/>
      <c r="I12" s="456"/>
    </row>
    <row r="13" spans="1:256" ht="13.15">
      <c r="A13" s="939" t="s">
        <v>308</v>
      </c>
      <c r="B13" s="939"/>
      <c r="C13" s="457"/>
      <c r="D13" s="451"/>
      <c r="E13" s="457"/>
      <c r="F13" s="451"/>
      <c r="G13" s="457"/>
      <c r="H13" s="457"/>
      <c r="I13" s="456"/>
    </row>
    <row r="14" spans="1:256" ht="18" customHeight="1">
      <c r="A14" s="458" t="s">
        <v>309</v>
      </c>
      <c r="B14" s="459" t="s">
        <v>310</v>
      </c>
      <c r="C14" s="460"/>
      <c r="D14" s="451"/>
      <c r="E14" s="460"/>
      <c r="F14" s="451"/>
      <c r="G14" s="460"/>
      <c r="H14" s="457"/>
      <c r="I14" s="456"/>
    </row>
    <row r="15" spans="1:256" ht="18" customHeight="1">
      <c r="A15" s="461" t="s">
        <v>311</v>
      </c>
      <c r="B15" s="462"/>
      <c r="C15" s="463"/>
      <c r="D15" s="451"/>
      <c r="E15" s="463"/>
      <c r="F15" s="451"/>
      <c r="G15" s="463"/>
      <c r="H15" s="457"/>
      <c r="I15" s="452">
        <f>SUM(C15:G15)</f>
        <v>0</v>
      </c>
    </row>
    <row r="16" spans="1:256" ht="18" customHeight="1">
      <c r="A16" s="461" t="s">
        <v>312</v>
      </c>
      <c r="B16" s="462"/>
      <c r="C16" s="450"/>
      <c r="D16" s="451"/>
      <c r="E16" s="450"/>
      <c r="F16" s="451"/>
      <c r="G16" s="450"/>
      <c r="H16" s="457"/>
      <c r="I16" s="452">
        <f>SUM(C16:G16)</f>
        <v>0</v>
      </c>
    </row>
    <row r="17" spans="1:9" ht="18" customHeight="1">
      <c r="A17" s="461" t="s">
        <v>312</v>
      </c>
      <c r="B17" s="462"/>
      <c r="C17" s="450"/>
      <c r="D17" s="451"/>
      <c r="E17" s="450"/>
      <c r="F17" s="451"/>
      <c r="G17" s="450"/>
      <c r="H17" s="457"/>
      <c r="I17" s="452">
        <f>SUM(C17:G17)</f>
        <v>0</v>
      </c>
    </row>
    <row r="18" spans="1:9" ht="18" customHeight="1">
      <c r="A18" s="461" t="s">
        <v>312</v>
      </c>
      <c r="B18" s="462"/>
      <c r="C18" s="450"/>
      <c r="D18" s="451"/>
      <c r="E18" s="450"/>
      <c r="F18" s="451"/>
      <c r="G18" s="450"/>
      <c r="H18" s="457"/>
      <c r="I18" s="452">
        <f>SUM(C18:G18)</f>
        <v>0</v>
      </c>
    </row>
    <row r="19" spans="1:9" ht="18" customHeight="1">
      <c r="A19" s="461" t="s">
        <v>312</v>
      </c>
      <c r="B19" s="462"/>
      <c r="C19" s="450"/>
      <c r="D19" s="451"/>
      <c r="E19" s="450"/>
      <c r="F19" s="451"/>
      <c r="G19" s="450"/>
      <c r="H19" s="457"/>
      <c r="I19" s="452">
        <f>SUM(C19:G19)</f>
        <v>0</v>
      </c>
    </row>
    <row r="20" spans="1:9" ht="18" customHeight="1">
      <c r="A20" s="938" t="s">
        <v>313</v>
      </c>
      <c r="B20" s="938"/>
      <c r="C20" s="453">
        <f>SUM(C15:C19)</f>
        <v>0</v>
      </c>
      <c r="D20" s="453"/>
      <c r="E20" s="453">
        <f>SUM(E15:E19)</f>
        <v>0</v>
      </c>
      <c r="F20" s="453"/>
      <c r="G20" s="453">
        <f>SUM(G15:G19)</f>
        <v>0</v>
      </c>
      <c r="H20" s="453"/>
      <c r="I20" s="453">
        <f>SUM(I15:I19)</f>
        <v>0</v>
      </c>
    </row>
    <row r="21" spans="1:9" ht="18" customHeight="1">
      <c r="A21" s="941"/>
      <c r="B21" s="941"/>
    </row>
    <row r="22" spans="1:9" ht="18" customHeight="1">
      <c r="A22" s="458" t="s">
        <v>314</v>
      </c>
      <c r="B22" s="459" t="s">
        <v>310</v>
      </c>
    </row>
    <row r="23" spans="1:9" ht="18" customHeight="1">
      <c r="A23" s="461" t="s">
        <v>315</v>
      </c>
      <c r="B23" s="462"/>
      <c r="C23" s="463"/>
      <c r="D23" s="451"/>
      <c r="E23" s="463"/>
      <c r="F23" s="451"/>
      <c r="G23" s="463"/>
      <c r="I23" s="452">
        <f t="shared" ref="I23:I28" si="0">SUM(C23:G23)</f>
        <v>0</v>
      </c>
    </row>
    <row r="24" spans="1:9" ht="18" customHeight="1">
      <c r="A24" s="461" t="s">
        <v>316</v>
      </c>
      <c r="B24" s="462"/>
      <c r="C24" s="463"/>
      <c r="D24" s="451"/>
      <c r="E24" s="463"/>
      <c r="F24" s="451"/>
      <c r="G24" s="463"/>
      <c r="H24" s="457"/>
      <c r="I24" s="452">
        <f t="shared" si="0"/>
        <v>0</v>
      </c>
    </row>
    <row r="25" spans="1:9" ht="18" customHeight="1">
      <c r="A25" s="461" t="s">
        <v>316</v>
      </c>
      <c r="B25" s="462"/>
      <c r="C25" s="463"/>
      <c r="D25" s="451"/>
      <c r="E25" s="463"/>
      <c r="F25" s="451"/>
      <c r="G25" s="463"/>
      <c r="H25" s="457"/>
      <c r="I25" s="452">
        <f t="shared" si="0"/>
        <v>0</v>
      </c>
    </row>
    <row r="26" spans="1:9" ht="18" customHeight="1">
      <c r="A26" s="461" t="s">
        <v>312</v>
      </c>
      <c r="B26" s="462"/>
      <c r="C26" s="463"/>
      <c r="D26" s="451"/>
      <c r="E26" s="463"/>
      <c r="F26" s="451"/>
      <c r="G26" s="463"/>
      <c r="H26" s="457"/>
      <c r="I26" s="452">
        <f t="shared" si="0"/>
        <v>0</v>
      </c>
    </row>
    <row r="27" spans="1:9" ht="18" customHeight="1">
      <c r="A27" s="461" t="s">
        <v>312</v>
      </c>
      <c r="B27" s="462"/>
      <c r="C27" s="463"/>
      <c r="D27" s="451"/>
      <c r="E27" s="463"/>
      <c r="F27" s="451"/>
      <c r="G27" s="463"/>
      <c r="H27" s="457"/>
      <c r="I27" s="452">
        <f t="shared" si="0"/>
        <v>0</v>
      </c>
    </row>
    <row r="28" spans="1:9" ht="18" customHeight="1">
      <c r="A28" s="938" t="s">
        <v>317</v>
      </c>
      <c r="B28" s="938"/>
      <c r="C28" s="453">
        <f>SUM(C23:C27)</f>
        <v>0</v>
      </c>
      <c r="D28" s="453"/>
      <c r="E28" s="453">
        <f>SUM(E23:E27)</f>
        <v>0</v>
      </c>
      <c r="F28" s="453"/>
      <c r="G28" s="453">
        <f>SUM(G23:G27)</f>
        <v>0</v>
      </c>
      <c r="H28" s="457"/>
      <c r="I28" s="452">
        <f t="shared" si="0"/>
        <v>0</v>
      </c>
    </row>
    <row r="29" spans="1:9" ht="18" customHeight="1">
      <c r="A29" s="941"/>
      <c r="B29" s="941"/>
      <c r="C29" s="426"/>
      <c r="D29" s="451"/>
      <c r="E29" s="426"/>
      <c r="F29" s="451"/>
      <c r="G29" s="426"/>
      <c r="H29" s="457"/>
      <c r="I29" s="457"/>
    </row>
    <row r="30" spans="1:9" ht="18" customHeight="1">
      <c r="A30" s="938" t="s">
        <v>318</v>
      </c>
      <c r="B30" s="938"/>
      <c r="C30" s="464">
        <f>C20+C28</f>
        <v>0</v>
      </c>
      <c r="D30" s="454"/>
      <c r="E30" s="464">
        <f>E20+E28</f>
        <v>0</v>
      </c>
      <c r="F30" s="454"/>
      <c r="G30" s="464">
        <f>G20+G28</f>
        <v>0</v>
      </c>
      <c r="H30" s="429"/>
      <c r="I30" s="452">
        <f>I20+I28</f>
        <v>0</v>
      </c>
    </row>
    <row r="31" spans="1:9" ht="18" customHeight="1">
      <c r="A31" s="940"/>
      <c r="B31" s="940"/>
      <c r="C31" s="426"/>
      <c r="D31" s="451"/>
      <c r="E31" s="426"/>
      <c r="F31" s="451"/>
      <c r="G31" s="426"/>
      <c r="H31" s="457"/>
      <c r="I31" s="457"/>
    </row>
    <row r="32" spans="1:9" ht="18" customHeight="1">
      <c r="A32" s="942" t="s">
        <v>319</v>
      </c>
      <c r="B32" s="942"/>
      <c r="C32" s="426"/>
      <c r="D32" s="451"/>
      <c r="E32" s="426"/>
      <c r="F32" s="451"/>
      <c r="G32" s="426"/>
      <c r="H32" s="457"/>
      <c r="I32" s="457"/>
    </row>
    <row r="33" spans="1:9" ht="18" customHeight="1">
      <c r="A33" s="938" t="s">
        <v>320</v>
      </c>
      <c r="B33" s="938"/>
      <c r="C33" s="463"/>
      <c r="D33" s="451"/>
      <c r="E33" s="463"/>
      <c r="F33" s="451"/>
      <c r="G33" s="463"/>
      <c r="H33" s="457"/>
      <c r="I33" s="452">
        <f>SUM(C33:G33)</f>
        <v>0</v>
      </c>
    </row>
    <row r="34" spans="1:9" ht="18" customHeight="1">
      <c r="A34" s="458" t="s">
        <v>309</v>
      </c>
      <c r="B34" s="459" t="s">
        <v>310</v>
      </c>
      <c r="C34" s="460"/>
      <c r="D34" s="451"/>
      <c r="E34" s="460"/>
      <c r="F34" s="451"/>
      <c r="G34" s="460"/>
      <c r="H34" s="457"/>
      <c r="I34" s="456"/>
    </row>
    <row r="35" spans="1:9" ht="18" customHeight="1">
      <c r="A35" s="461" t="s">
        <v>311</v>
      </c>
      <c r="B35" s="462"/>
      <c r="C35" s="463"/>
      <c r="D35" s="451"/>
      <c r="E35" s="463"/>
      <c r="F35" s="451"/>
      <c r="G35" s="463"/>
      <c r="H35" s="457"/>
      <c r="I35" s="452">
        <f>SUM(C35:G35)</f>
        <v>0</v>
      </c>
    </row>
    <row r="36" spans="1:9" ht="18" customHeight="1">
      <c r="A36" s="461" t="s">
        <v>312</v>
      </c>
      <c r="B36" s="462"/>
      <c r="C36" s="450"/>
      <c r="D36" s="451"/>
      <c r="E36" s="450"/>
      <c r="F36" s="451"/>
      <c r="G36" s="450"/>
      <c r="H36" s="457"/>
      <c r="I36" s="452">
        <f>SUM(C36:G36)</f>
        <v>0</v>
      </c>
    </row>
    <row r="37" spans="1:9" ht="18" customHeight="1">
      <c r="A37" s="461" t="s">
        <v>312</v>
      </c>
      <c r="B37" s="462"/>
      <c r="C37" s="450"/>
      <c r="D37" s="451"/>
      <c r="E37" s="450"/>
      <c r="F37" s="451"/>
      <c r="G37" s="450"/>
      <c r="H37" s="457"/>
      <c r="I37" s="452">
        <f>SUM(C37:G37)</f>
        <v>0</v>
      </c>
    </row>
    <row r="38" spans="1:9" ht="18" customHeight="1">
      <c r="A38" s="461" t="s">
        <v>312</v>
      </c>
      <c r="B38" s="462"/>
      <c r="C38" s="450"/>
      <c r="D38" s="451"/>
      <c r="E38" s="450"/>
      <c r="F38" s="451"/>
      <c r="G38" s="450"/>
      <c r="H38" s="457"/>
      <c r="I38" s="452">
        <f>SUM(C38:G38)</f>
        <v>0</v>
      </c>
    </row>
    <row r="39" spans="1:9" ht="18" customHeight="1">
      <c r="A39" s="461" t="s">
        <v>312</v>
      </c>
      <c r="B39" s="462"/>
      <c r="C39" s="450"/>
      <c r="D39" s="451"/>
      <c r="E39" s="450"/>
      <c r="F39" s="451"/>
      <c r="G39" s="450"/>
      <c r="H39" s="457"/>
      <c r="I39" s="452">
        <f>SUM(C39:G39)</f>
        <v>0</v>
      </c>
    </row>
    <row r="40" spans="1:9" ht="18" customHeight="1">
      <c r="A40" s="938" t="s">
        <v>313</v>
      </c>
      <c r="B40" s="938"/>
      <c r="C40" s="453">
        <f>SUM(C33:C39)</f>
        <v>0</v>
      </c>
      <c r="D40" s="455"/>
      <c r="E40" s="453">
        <f>SUM(E33:E39)</f>
        <v>0</v>
      </c>
      <c r="F40" s="455"/>
      <c r="G40" s="453">
        <f>SUM(G33:G39)</f>
        <v>0</v>
      </c>
      <c r="H40" s="455"/>
      <c r="I40" s="453">
        <f>SUM(I33:I39)</f>
        <v>0</v>
      </c>
    </row>
    <row r="41" spans="1:9" ht="18" customHeight="1">
      <c r="A41" s="938"/>
      <c r="B41" s="938"/>
    </row>
    <row r="42" spans="1:9" ht="18" customHeight="1">
      <c r="A42" s="458" t="s">
        <v>314</v>
      </c>
      <c r="B42" s="459" t="s">
        <v>310</v>
      </c>
    </row>
    <row r="43" spans="1:9" ht="18" customHeight="1">
      <c r="A43" s="461" t="s">
        <v>325</v>
      </c>
      <c r="B43" s="462"/>
      <c r="C43" s="463"/>
      <c r="D43" s="451"/>
      <c r="E43" s="463"/>
      <c r="F43" s="451"/>
      <c r="G43" s="463"/>
      <c r="I43" s="464">
        <f t="shared" ref="I43:I48" si="1">SUM(C43:G43)</f>
        <v>0</v>
      </c>
    </row>
    <row r="44" spans="1:9" ht="18" customHeight="1">
      <c r="A44" s="461" t="s">
        <v>326</v>
      </c>
      <c r="B44" s="462"/>
      <c r="C44" s="463"/>
      <c r="D44" s="451"/>
      <c r="E44" s="463"/>
      <c r="F44" s="451"/>
      <c r="G44" s="463"/>
      <c r="H44" s="465"/>
      <c r="I44" s="464">
        <f t="shared" si="1"/>
        <v>0</v>
      </c>
    </row>
    <row r="45" spans="1:9" ht="18" customHeight="1">
      <c r="A45" s="461" t="s">
        <v>316</v>
      </c>
      <c r="B45" s="462"/>
      <c r="C45" s="463"/>
      <c r="D45" s="451"/>
      <c r="E45" s="463"/>
      <c r="F45" s="451"/>
      <c r="G45" s="463"/>
      <c r="H45" s="466"/>
      <c r="I45" s="464">
        <f t="shared" si="1"/>
        <v>0</v>
      </c>
    </row>
    <row r="46" spans="1:9" ht="18" customHeight="1">
      <c r="A46" s="461" t="s">
        <v>312</v>
      </c>
      <c r="B46" s="462"/>
      <c r="C46" s="463"/>
      <c r="D46" s="451"/>
      <c r="E46" s="463"/>
      <c r="F46" s="451"/>
      <c r="G46" s="463"/>
      <c r="H46" s="466"/>
      <c r="I46" s="464">
        <f t="shared" si="1"/>
        <v>0</v>
      </c>
    </row>
    <row r="47" spans="1:9" ht="18" customHeight="1">
      <c r="A47" s="461" t="s">
        <v>312</v>
      </c>
      <c r="B47" s="462"/>
      <c r="C47" s="463"/>
      <c r="D47" s="451"/>
      <c r="E47" s="463"/>
      <c r="F47" s="451"/>
      <c r="G47" s="463"/>
      <c r="H47" s="465"/>
      <c r="I47" s="464">
        <f t="shared" si="1"/>
        <v>0</v>
      </c>
    </row>
    <row r="48" spans="1:9" ht="18" customHeight="1">
      <c r="A48" s="937" t="s">
        <v>317</v>
      </c>
      <c r="B48" s="937"/>
      <c r="C48" s="464">
        <f>SUM(C43:C47)</f>
        <v>0</v>
      </c>
      <c r="D48" s="454"/>
      <c r="E48" s="464">
        <f>SUM(E43:E47)</f>
        <v>0</v>
      </c>
      <c r="F48" s="454"/>
      <c r="G48" s="464">
        <f>SUM(G43:G47)</f>
        <v>0</v>
      </c>
      <c r="H48" s="467"/>
      <c r="I48" s="464">
        <f t="shared" si="1"/>
        <v>0</v>
      </c>
    </row>
    <row r="49" spans="1:9" ht="18" customHeight="1">
      <c r="A49" s="468"/>
      <c r="B49" s="468"/>
      <c r="D49" s="469"/>
      <c r="F49" s="469"/>
      <c r="H49" s="465"/>
    </row>
    <row r="50" spans="1:9" ht="18" customHeight="1">
      <c r="A50" s="937" t="s">
        <v>321</v>
      </c>
      <c r="B50" s="937"/>
      <c r="C50" s="452">
        <f>C33+C40+C48</f>
        <v>0</v>
      </c>
      <c r="D50" s="455"/>
      <c r="E50" s="452">
        <f>E33+E40+E48</f>
        <v>0</v>
      </c>
      <c r="F50" s="455"/>
      <c r="G50" s="452">
        <f>G33+G40+G48</f>
        <v>0</v>
      </c>
      <c r="H50" s="429"/>
      <c r="I50" s="470">
        <f>C50+E50+G50</f>
        <v>0</v>
      </c>
    </row>
    <row r="51" spans="1:9" ht="18" customHeight="1">
      <c r="D51" s="469"/>
      <c r="F51" s="469"/>
    </row>
    <row r="52" spans="1:9" ht="18" customHeight="1">
      <c r="A52" s="937" t="s">
        <v>322</v>
      </c>
      <c r="B52" s="937"/>
      <c r="C52" s="471"/>
      <c r="D52" s="472"/>
      <c r="E52" s="471"/>
      <c r="F52" s="472"/>
      <c r="G52" s="471"/>
      <c r="H52" s="466"/>
      <c r="I52" s="473">
        <f>SUM(C52:G52)</f>
        <v>0</v>
      </c>
    </row>
    <row r="53" spans="1:9" ht="18" customHeight="1">
      <c r="A53" s="937" t="s">
        <v>323</v>
      </c>
      <c r="B53" s="937"/>
      <c r="C53" s="471"/>
      <c r="D53" s="472"/>
      <c r="E53" s="471"/>
      <c r="F53" s="472"/>
      <c r="G53" s="471"/>
      <c r="H53" s="466"/>
      <c r="I53" s="473">
        <f>SUM(C53:G53)</f>
        <v>0</v>
      </c>
    </row>
    <row r="54" spans="1:9" ht="18" customHeight="1">
      <c r="A54" s="580"/>
      <c r="B54" s="580"/>
      <c r="C54" s="471"/>
      <c r="D54" s="472"/>
      <c r="E54" s="471"/>
      <c r="F54" s="472"/>
      <c r="G54" s="471"/>
      <c r="H54" s="466"/>
      <c r="I54" s="473"/>
    </row>
  </sheetData>
  <mergeCells count="20">
    <mergeCell ref="A3:I3"/>
    <mergeCell ref="A13:B13"/>
    <mergeCell ref="A20:B20"/>
    <mergeCell ref="A33:B33"/>
    <mergeCell ref="A31:B31"/>
    <mergeCell ref="A29:B29"/>
    <mergeCell ref="A21:B21"/>
    <mergeCell ref="A28:B28"/>
    <mergeCell ref="A30:B30"/>
    <mergeCell ref="A32:B32"/>
    <mergeCell ref="A7:B7"/>
    <mergeCell ref="A8:B8"/>
    <mergeCell ref="A9:B9"/>
    <mergeCell ref="A10:B10"/>
    <mergeCell ref="A53:B53"/>
    <mergeCell ref="A52:B52"/>
    <mergeCell ref="A50:B50"/>
    <mergeCell ref="A48:B48"/>
    <mergeCell ref="A40:B40"/>
    <mergeCell ref="A41:B41"/>
  </mergeCells>
  <phoneticPr fontId="33" type="noConversion"/>
  <printOptions horizontalCentered="1"/>
  <pageMargins left="0.5" right="0.5" top="0.5" bottom="0.5" header="0.5" footer="0.5"/>
  <pageSetup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H45"/>
  <sheetViews>
    <sheetView defaultGridColor="0" colorId="22" zoomScale="75" zoomScaleNormal="75" zoomScaleSheetLayoutView="75" workbookViewId="0"/>
  </sheetViews>
  <sheetFormatPr defaultColWidth="9.77734375" defaultRowHeight="15"/>
  <cols>
    <col min="1" max="1" width="41.5546875" style="44" customWidth="1"/>
    <col min="2" max="2" width="15.88671875" style="44" customWidth="1"/>
    <col min="3" max="3" width="14" style="59" customWidth="1"/>
    <col min="4" max="4" width="10.77734375" style="61" customWidth="1"/>
    <col min="5" max="16384" width="9.77734375" style="44"/>
  </cols>
  <sheetData>
    <row r="1" spans="1:8">
      <c r="A1" s="547" t="s">
        <v>508</v>
      </c>
      <c r="B1" s="51"/>
      <c r="C1" s="409"/>
      <c r="D1" s="476"/>
      <c r="E1" s="18"/>
      <c r="F1" s="18"/>
      <c r="G1" s="18"/>
      <c r="H1" s="18"/>
    </row>
    <row r="2" spans="1:8">
      <c r="A2" s="408" t="s">
        <v>388</v>
      </c>
      <c r="B2" s="18"/>
      <c r="C2" s="477" t="s">
        <v>229</v>
      </c>
      <c r="D2" s="529">
        <f>'Units &amp; Income'!C23</f>
        <v>0</v>
      </c>
      <c r="E2" s="18"/>
      <c r="F2" s="18"/>
      <c r="G2" s="18"/>
      <c r="H2" s="18"/>
    </row>
    <row r="3" spans="1:8" ht="22.5">
      <c r="A3" s="8"/>
      <c r="B3" s="51"/>
      <c r="C3" s="62"/>
      <c r="D3" s="60"/>
      <c r="E3" s="18"/>
      <c r="F3" s="18"/>
      <c r="G3" s="18"/>
      <c r="H3" s="18"/>
    </row>
    <row r="4" spans="1:8">
      <c r="A4" s="25" t="s">
        <v>9</v>
      </c>
      <c r="B4" s="18"/>
      <c r="C4" s="63"/>
      <c r="D4" s="53"/>
      <c r="E4" s="12"/>
      <c r="H4" s="18"/>
    </row>
    <row r="5" spans="1:8" ht="15.4" thickBot="1">
      <c r="A5" s="236"/>
      <c r="B5" s="237"/>
      <c r="C5" s="238"/>
      <c r="D5" s="239"/>
      <c r="E5" s="12"/>
      <c r="F5" s="12"/>
      <c r="G5" s="12"/>
      <c r="H5" s="18"/>
    </row>
    <row r="6" spans="1:8" ht="15.4" thickTop="1">
      <c r="A6" s="247" t="s">
        <v>77</v>
      </c>
      <c r="B6" s="18"/>
      <c r="C6" s="65" t="s">
        <v>117</v>
      </c>
      <c r="D6" s="250" t="s">
        <v>118</v>
      </c>
      <c r="E6" s="12"/>
      <c r="F6" s="12"/>
      <c r="G6" s="21"/>
      <c r="H6" s="18"/>
    </row>
    <row r="7" spans="1:8">
      <c r="A7" s="425" t="str">
        <f>'Devel. Bud'!A80</f>
        <v>First Mortgage (Lender:                                )</v>
      </c>
      <c r="B7" s="21" t="e">
        <f ca="1">'Devel. Bud'!D80</f>
        <v>#DIV/0!</v>
      </c>
      <c r="C7" s="64" t="e">
        <f ca="1">B7/'Units &amp; Income'!$C$23</f>
        <v>#DIV/0!</v>
      </c>
      <c r="D7" s="39" t="e">
        <f t="shared" ref="D7:D15" ca="1" si="0">B7/$B$17</f>
        <v>#DIV/0!</v>
      </c>
      <c r="E7" s="54" t="s">
        <v>112</v>
      </c>
      <c r="F7" s="12"/>
      <c r="G7" s="17"/>
      <c r="H7" s="18"/>
    </row>
    <row r="8" spans="1:8">
      <c r="A8" s="425" t="str">
        <f>'Devel. Bud'!A81</f>
        <v>Second Mortgage (Lender:                                )</v>
      </c>
      <c r="B8" s="21">
        <f>'Devel. Bud'!D81</f>
        <v>0</v>
      </c>
      <c r="C8" s="64" t="e">
        <f>B8/'Units &amp; Income'!$C$23</f>
        <v>#DIV/0!</v>
      </c>
      <c r="D8" s="39" t="e">
        <f t="shared" ca="1" si="0"/>
        <v>#DIV/0!</v>
      </c>
      <c r="E8" s="12"/>
      <c r="F8" s="12"/>
      <c r="G8" s="17"/>
      <c r="H8" s="18"/>
    </row>
    <row r="9" spans="1:8">
      <c r="A9" s="425" t="str">
        <f>'Devel. Bud'!A82</f>
        <v>Third Mortgage (Lender:                                )</v>
      </c>
      <c r="B9" s="21">
        <f>'Devel. Bud'!D82</f>
        <v>0</v>
      </c>
      <c r="C9" s="64" t="e">
        <f>B9/'Units &amp; Income'!$C$23</f>
        <v>#DIV/0!</v>
      </c>
      <c r="D9" s="39" t="e">
        <f t="shared" ca="1" si="0"/>
        <v>#DIV/0!</v>
      </c>
      <c r="E9" s="12"/>
      <c r="F9" s="12"/>
      <c r="G9" s="17"/>
      <c r="H9" s="18"/>
    </row>
    <row r="10" spans="1:8">
      <c r="A10" s="425" t="str">
        <f>'Devel. Bud'!A83</f>
        <v>Fourth Mortgage (Lender:                                )</v>
      </c>
      <c r="B10" s="21">
        <f ca="1">'Devel. Bud'!D83</f>
        <v>0</v>
      </c>
      <c r="C10" s="64" t="e">
        <f ca="1">B10/'Units &amp; Income'!$C$23</f>
        <v>#DIV/0!</v>
      </c>
      <c r="D10" s="39" t="e">
        <f t="shared" ca="1" si="0"/>
        <v>#DIV/0!</v>
      </c>
      <c r="E10" s="12"/>
      <c r="F10" s="12"/>
      <c r="G10" s="17"/>
      <c r="H10" s="18"/>
    </row>
    <row r="11" spans="1:8">
      <c r="A11" s="531" t="str">
        <f>'Devel. Bud'!A84</f>
        <v>LIHTC Equity</v>
      </c>
      <c r="B11" s="193">
        <f>'Devel. Bud'!D84</f>
        <v>0</v>
      </c>
      <c r="C11" s="64" t="e">
        <f>B11/'Units &amp; Income'!$C$23</f>
        <v>#DIV/0!</v>
      </c>
      <c r="D11" s="39" t="e">
        <f t="shared" ca="1" si="0"/>
        <v>#DIV/0!</v>
      </c>
      <c r="E11" s="12"/>
      <c r="F11" s="12"/>
      <c r="G11" s="17"/>
      <c r="H11" s="18"/>
    </row>
    <row r="12" spans="1:8">
      <c r="A12" s="531" t="str">
        <f>'Devel. Bud'!A85</f>
        <v>Deferred Developer's Fee</v>
      </c>
      <c r="B12" s="193">
        <f>'Devel. Bud'!D85</f>
        <v>0</v>
      </c>
      <c r="C12" s="64" t="e">
        <f>B12/'Units &amp; Income'!$C$23</f>
        <v>#DIV/0!</v>
      </c>
      <c r="D12" s="39" t="e">
        <f t="shared" ca="1" si="0"/>
        <v>#DIV/0!</v>
      </c>
      <c r="E12" s="12"/>
      <c r="F12" s="12"/>
      <c r="G12" s="17"/>
      <c r="H12" s="18"/>
    </row>
    <row r="13" spans="1:8">
      <c r="A13" s="531" t="str">
        <f>'Devel. Bud'!A86</f>
        <v>Developer Equity</v>
      </c>
      <c r="B13" s="188" t="e">
        <f ca="1">'Devel. Bud'!D97</f>
        <v>#DIV/0!</v>
      </c>
      <c r="C13" s="64" t="e">
        <f ca="1">B13/'Units &amp; Income'!$C$23</f>
        <v>#DIV/0!</v>
      </c>
      <c r="D13" s="39" t="e">
        <f t="shared" ca="1" si="0"/>
        <v>#DIV/0!</v>
      </c>
      <c r="E13" s="12"/>
      <c r="F13" s="12"/>
      <c r="G13" s="17"/>
      <c r="H13" s="18"/>
    </row>
    <row r="14" spans="1:8">
      <c r="A14" s="531" t="str">
        <f>'Devel. Bud'!A87</f>
        <v>Other source (Specify:                                )</v>
      </c>
      <c r="B14" s="193">
        <f>'Devel. Bud'!D86</f>
        <v>0</v>
      </c>
      <c r="C14" s="64" t="e">
        <f>B14/'Units &amp; Income'!$C$23</f>
        <v>#DIV/0!</v>
      </c>
      <c r="D14" s="39" t="e">
        <f t="shared" ca="1" si="0"/>
        <v>#DIV/0!</v>
      </c>
      <c r="E14" s="12"/>
      <c r="F14" s="12"/>
      <c r="G14" s="17"/>
      <c r="H14" s="18"/>
    </row>
    <row r="15" spans="1:8">
      <c r="A15" s="531" t="str">
        <f>'Devel. Bud'!A88</f>
        <v>Gap/(Surplus)</v>
      </c>
      <c r="B15" s="193">
        <f>'Devel. Bud'!D87</f>
        <v>0</v>
      </c>
      <c r="C15" s="64" t="e">
        <f>B15/'Units &amp; Income'!$C$23</f>
        <v>#DIV/0!</v>
      </c>
      <c r="D15" s="39" t="e">
        <f t="shared" ca="1" si="0"/>
        <v>#DIV/0!</v>
      </c>
      <c r="E15" s="18"/>
      <c r="F15" s="22"/>
      <c r="G15" s="17"/>
      <c r="H15" s="55"/>
    </row>
    <row r="16" spans="1:8">
      <c r="A16" s="531"/>
      <c r="B16" s="193"/>
      <c r="C16" s="64"/>
      <c r="D16" s="39"/>
      <c r="E16" s="18"/>
      <c r="F16" s="22"/>
      <c r="G16" s="17"/>
      <c r="H16" s="55"/>
    </row>
    <row r="17" spans="1:8">
      <c r="A17" s="67" t="s">
        <v>10</v>
      </c>
      <c r="B17" s="243" t="e">
        <f ca="1">SUM(B7:B15)</f>
        <v>#DIV/0!</v>
      </c>
      <c r="C17" s="610" t="e">
        <f ca="1">B17/'Units &amp; Income'!$C$23</f>
        <v>#DIV/0!</v>
      </c>
      <c r="D17" s="246" t="e">
        <f ca="1">SUM(D7:D15)</f>
        <v>#DIV/0!</v>
      </c>
      <c r="E17" s="12"/>
      <c r="F17" s="56"/>
      <c r="G17" s="17"/>
      <c r="H17" s="18"/>
    </row>
    <row r="18" spans="1:8" ht="15.4" thickBot="1">
      <c r="A18" s="237"/>
      <c r="B18" s="240"/>
      <c r="C18" s="241"/>
      <c r="D18" s="242"/>
      <c r="E18" s="12"/>
      <c r="F18" s="12"/>
      <c r="G18" s="12"/>
      <c r="H18" s="18"/>
    </row>
    <row r="19" spans="1:8" ht="15.4" thickTop="1">
      <c r="A19" s="247" t="s">
        <v>73</v>
      </c>
      <c r="B19" s="171"/>
      <c r="C19" s="64"/>
      <c r="D19" s="245"/>
      <c r="E19" s="12"/>
      <c r="F19" s="12"/>
      <c r="G19" s="21"/>
      <c r="H19" s="18"/>
    </row>
    <row r="20" spans="1:8">
      <c r="A20" s="425" t="str">
        <f>A7</f>
        <v>First Mortgage (Lender:                                )</v>
      </c>
      <c r="B20" s="193" t="e">
        <f ca="1">'Devel. Bud'!D92</f>
        <v>#DIV/0!</v>
      </c>
      <c r="C20" s="64" t="e">
        <f ca="1">B20/'Units &amp; Income'!$C$23</f>
        <v>#DIV/0!</v>
      </c>
      <c r="D20" s="39" t="e">
        <f ca="1">B20/B31</f>
        <v>#DIV/0!</v>
      </c>
      <c r="E20" s="12"/>
      <c r="F20" s="12"/>
      <c r="G20" s="17"/>
      <c r="H20" s="18"/>
    </row>
    <row r="21" spans="1:8">
      <c r="A21" s="425" t="str">
        <f>A8</f>
        <v>Second Mortgage (Lender:                                )</v>
      </c>
      <c r="B21" s="193">
        <f>'Devel. Bud'!D93</f>
        <v>0</v>
      </c>
      <c r="C21" s="64" t="e">
        <f>B21/'Units &amp; Income'!$C$23</f>
        <v>#DIV/0!</v>
      </c>
      <c r="D21" s="39" t="e">
        <f t="shared" ref="D21:D29" ca="1" si="1">B21/$B$31</f>
        <v>#DIV/0!</v>
      </c>
      <c r="E21" s="12"/>
      <c r="F21" s="12"/>
      <c r="G21" s="17"/>
      <c r="H21" s="18"/>
    </row>
    <row r="22" spans="1:8">
      <c r="A22" s="425" t="str">
        <f>A9</f>
        <v>Third Mortgage (Lender:                                )</v>
      </c>
      <c r="B22" s="193">
        <f>'Devel. Bud'!D94</f>
        <v>0</v>
      </c>
      <c r="C22" s="64" t="e">
        <f>B22/'Units &amp; Income'!$C$23</f>
        <v>#DIV/0!</v>
      </c>
      <c r="D22" s="39" t="e">
        <f t="shared" ca="1" si="1"/>
        <v>#DIV/0!</v>
      </c>
      <c r="E22" s="12"/>
      <c r="F22" s="12"/>
      <c r="G22" s="17"/>
      <c r="H22" s="18"/>
    </row>
    <row r="23" spans="1:8">
      <c r="A23" s="425" t="str">
        <f>A10</f>
        <v>Fourth Mortgage (Lender:                                )</v>
      </c>
      <c r="B23" s="193">
        <f ca="1">'Devel. Bud'!D95</f>
        <v>0</v>
      </c>
      <c r="C23" s="64" t="e">
        <f ca="1">B23/'Units &amp; Income'!$C$23</f>
        <v>#DIV/0!</v>
      </c>
      <c r="D23" s="39" t="e">
        <f t="shared" ca="1" si="1"/>
        <v>#DIV/0!</v>
      </c>
      <c r="E23" s="12"/>
      <c r="F23" s="12"/>
      <c r="G23" s="17"/>
      <c r="H23" s="18"/>
    </row>
    <row r="24" spans="1:8">
      <c r="A24" s="425" t="str">
        <f>A14</f>
        <v>Other source (Specify:                                )</v>
      </c>
      <c r="B24" s="193">
        <f>'Devel. Bud'!D98</f>
        <v>0</v>
      </c>
      <c r="C24" s="64" t="e">
        <f>B24/'Units &amp; Income'!$C$23</f>
        <v>#DIV/0!</v>
      </c>
      <c r="D24" s="39" t="e">
        <f t="shared" ca="1" si="1"/>
        <v>#DIV/0!</v>
      </c>
      <c r="E24" s="12"/>
      <c r="F24" s="12"/>
      <c r="G24" s="17"/>
      <c r="H24" s="18"/>
    </row>
    <row r="25" spans="1:8">
      <c r="A25" s="425" t="str">
        <f>A11</f>
        <v>LIHTC Equity</v>
      </c>
      <c r="B25" s="193">
        <f>'Devel. Bud'!D99</f>
        <v>0</v>
      </c>
      <c r="C25" s="64" t="e">
        <f>B25/'Units &amp; Income'!$C$23</f>
        <v>#DIV/0!</v>
      </c>
      <c r="D25" s="39" t="e">
        <f t="shared" ca="1" si="1"/>
        <v>#DIV/0!</v>
      </c>
      <c r="E25" s="12"/>
      <c r="F25" s="12"/>
      <c r="G25" s="17"/>
      <c r="H25" s="18"/>
    </row>
    <row r="26" spans="1:8">
      <c r="A26" s="425" t="str">
        <f>A12</f>
        <v>Deferred Developer's Fee</v>
      </c>
      <c r="B26" s="193" t="e">
        <f ca="1">'Devel. Bud'!D97</f>
        <v>#DIV/0!</v>
      </c>
      <c r="C26" s="64" t="e">
        <f ca="1">B26/'Units &amp; Income'!$C$23</f>
        <v>#DIV/0!</v>
      </c>
      <c r="D26" s="39" t="e">
        <f t="shared" ca="1" si="1"/>
        <v>#DIV/0!</v>
      </c>
      <c r="E26" s="12"/>
      <c r="F26" s="12"/>
      <c r="G26" s="17"/>
      <c r="H26" s="18"/>
    </row>
    <row r="27" spans="1:8">
      <c r="A27" s="425" t="str">
        <f>A13</f>
        <v>Developer Equity</v>
      </c>
      <c r="B27" s="193">
        <f>'Devel. Bud'!D99</f>
        <v>0</v>
      </c>
      <c r="C27" s="64" t="e">
        <f>B27/'Units &amp; Income'!$C$23</f>
        <v>#DIV/0!</v>
      </c>
      <c r="D27" s="39" t="e">
        <f t="shared" ca="1" si="1"/>
        <v>#DIV/0!</v>
      </c>
      <c r="E27" s="12"/>
      <c r="F27" s="12"/>
      <c r="G27" s="17"/>
      <c r="H27" s="18"/>
    </row>
    <row r="28" spans="1:8">
      <c r="A28" s="425" t="str">
        <f>A14</f>
        <v>Other source (Specify:                                )</v>
      </c>
      <c r="B28" s="193">
        <f>'Devel. Bud'!D102</f>
        <v>0</v>
      </c>
      <c r="C28" s="64" t="e">
        <f>B28/'Units &amp; Income'!$C$23</f>
        <v>#DIV/0!</v>
      </c>
      <c r="D28" s="39" t="e">
        <f t="shared" ca="1" si="1"/>
        <v>#DIV/0!</v>
      </c>
      <c r="E28" s="12"/>
      <c r="F28" s="12"/>
      <c r="G28" s="17"/>
      <c r="H28" s="18"/>
    </row>
    <row r="29" spans="1:8">
      <c r="A29" s="425" t="str">
        <f>A15</f>
        <v>Gap/(Surplus)</v>
      </c>
      <c r="B29" s="193">
        <f>'Devel. Bud'!D103</f>
        <v>0</v>
      </c>
      <c r="C29" s="64" t="e">
        <f>B29/'Units &amp; Income'!$C$23</f>
        <v>#DIV/0!</v>
      </c>
      <c r="D29" s="39" t="e">
        <f t="shared" ca="1" si="1"/>
        <v>#DIV/0!</v>
      </c>
      <c r="E29" s="18"/>
      <c r="F29" s="22"/>
      <c r="G29" s="17"/>
      <c r="H29" s="55"/>
    </row>
    <row r="30" spans="1:8">
      <c r="A30" s="425"/>
      <c r="B30" s="193"/>
      <c r="C30" s="64"/>
      <c r="D30" s="39"/>
      <c r="E30" s="18"/>
      <c r="F30" s="22"/>
      <c r="G30" s="17"/>
      <c r="H30" s="55"/>
    </row>
    <row r="31" spans="1:8">
      <c r="A31" s="67" t="s">
        <v>10</v>
      </c>
      <c r="B31" s="243" t="e">
        <f ca="1">SUM(B20:B29)</f>
        <v>#DIV/0!</v>
      </c>
      <c r="C31" s="610" t="e">
        <f ca="1">B31/'Units &amp; Income'!$C$23</f>
        <v>#DIV/0!</v>
      </c>
      <c r="D31" s="246" t="e">
        <f ca="1">SUM(D20:D29)</f>
        <v>#DIV/0!</v>
      </c>
      <c r="E31" s="12"/>
      <c r="F31" s="56"/>
      <c r="G31" s="17"/>
      <c r="H31" s="18"/>
    </row>
    <row r="32" spans="1:8" ht="15.4" thickBot="1">
      <c r="A32" s="18"/>
      <c r="B32" s="251"/>
      <c r="C32" s="252"/>
      <c r="D32" s="53"/>
      <c r="E32" s="12"/>
      <c r="F32" s="56"/>
      <c r="G32" s="17"/>
      <c r="H32" s="18"/>
    </row>
    <row r="33" spans="1:7" ht="15.4" thickTop="1">
      <c r="A33" s="247" t="s">
        <v>198</v>
      </c>
      <c r="B33" s="194"/>
      <c r="C33" s="64"/>
      <c r="D33" s="245"/>
      <c r="E33" s="12"/>
      <c r="F33" s="12"/>
      <c r="G33" s="17"/>
    </row>
    <row r="34" spans="1:7">
      <c r="A34" s="35" t="s">
        <v>11</v>
      </c>
      <c r="B34" s="195">
        <f>'Devel. Bud'!D6</f>
        <v>0</v>
      </c>
      <c r="C34" s="64" t="e">
        <f>B34/'Units &amp; Income'!$C$23</f>
        <v>#DIV/0!</v>
      </c>
      <c r="D34" s="39" t="e">
        <f ca="1">B34/$B$39</f>
        <v>#DIV/0!</v>
      </c>
      <c r="E34" s="12"/>
      <c r="F34" s="57"/>
      <c r="G34" s="17"/>
    </row>
    <row r="35" spans="1:7">
      <c r="A35" s="35" t="s">
        <v>12</v>
      </c>
      <c r="B35" s="193">
        <f>'Devel. Bud'!D16</f>
        <v>0</v>
      </c>
      <c r="C35" s="64" t="e">
        <f>B35/'Units &amp; Income'!$C$23</f>
        <v>#DIV/0!</v>
      </c>
      <c r="D35" s="39" t="e">
        <f ca="1">B35/$B$39</f>
        <v>#DIV/0!</v>
      </c>
      <c r="E35" s="12"/>
      <c r="F35" s="12"/>
      <c r="G35" s="58"/>
    </row>
    <row r="36" spans="1:7">
      <c r="A36" s="84" t="s">
        <v>13</v>
      </c>
      <c r="B36" s="193" t="e">
        <f ca="1">B39-B34-B35-B37</f>
        <v>#DIV/0!</v>
      </c>
      <c r="C36" s="64" t="e">
        <f ca="1">B36/'Units &amp; Income'!$C$23</f>
        <v>#DIV/0!</v>
      </c>
      <c r="D36" s="39" t="e">
        <f ca="1">B36/$B$39</f>
        <v>#DIV/0!</v>
      </c>
      <c r="E36" s="12"/>
      <c r="F36" s="12"/>
      <c r="G36" s="58"/>
    </row>
    <row r="37" spans="1:7">
      <c r="A37" s="84" t="s">
        <v>14</v>
      </c>
      <c r="B37" s="193">
        <f>'Devel. Bud'!D74</f>
        <v>0</v>
      </c>
      <c r="C37" s="64" t="e">
        <f>B37/'Units &amp; Income'!$C$23</f>
        <v>#DIV/0!</v>
      </c>
      <c r="D37" s="39" t="e">
        <f ca="1">B37/$B$39</f>
        <v>#DIV/0!</v>
      </c>
      <c r="E37" s="12"/>
      <c r="F37" s="12"/>
      <c r="G37" s="58"/>
    </row>
    <row r="38" spans="1:7">
      <c r="A38" s="248"/>
      <c r="B38" s="416"/>
      <c r="C38" s="64"/>
      <c r="D38" s="249"/>
      <c r="E38" s="12"/>
      <c r="F38" s="12"/>
      <c r="G38" s="58"/>
    </row>
    <row r="39" spans="1:7">
      <c r="A39" s="67" t="s">
        <v>15</v>
      </c>
      <c r="B39" s="243" t="e">
        <f ca="1">B31</f>
        <v>#DIV/0!</v>
      </c>
      <c r="C39" s="244" t="e">
        <f ca="1">B39/'Units &amp; Income'!$C$23</f>
        <v>#DIV/0!</v>
      </c>
      <c r="D39" s="246" t="e">
        <f ca="1">SUM(D34:D37)</f>
        <v>#DIV/0!</v>
      </c>
      <c r="E39" s="12"/>
      <c r="F39" s="12"/>
      <c r="G39" s="58"/>
    </row>
    <row r="40" spans="1:7">
      <c r="A40" s="18"/>
      <c r="B40" s="171"/>
      <c r="C40" s="63"/>
      <c r="D40" s="55"/>
      <c r="E40" s="12"/>
      <c r="F40" s="12"/>
      <c r="G40" s="58"/>
    </row>
    <row r="41" spans="1:7">
      <c r="A41" s="18"/>
      <c r="B41" s="196"/>
      <c r="C41" s="63"/>
      <c r="D41" s="55"/>
      <c r="E41" s="12"/>
      <c r="F41" s="12"/>
      <c r="G41" s="12"/>
    </row>
    <row r="42" spans="1:7">
      <c r="A42" s="23"/>
      <c r="B42" s="197"/>
      <c r="C42" s="63"/>
      <c r="D42" s="53"/>
      <c r="E42" s="12"/>
      <c r="F42" s="12"/>
      <c r="G42" s="12"/>
    </row>
    <row r="43" spans="1:7">
      <c r="A43" s="18"/>
      <c r="B43" s="18"/>
      <c r="C43" s="62"/>
      <c r="D43" s="53"/>
      <c r="E43" s="18"/>
      <c r="F43" s="18"/>
      <c r="G43" s="18"/>
    </row>
    <row r="44" spans="1:7">
      <c r="A44" s="18"/>
      <c r="B44" s="18"/>
      <c r="C44" s="62"/>
      <c r="D44" s="53"/>
      <c r="E44" s="18"/>
      <c r="F44" s="18"/>
      <c r="G44" s="18"/>
    </row>
    <row r="45" spans="1:7">
      <c r="A45" s="18"/>
      <c r="B45" s="18"/>
      <c r="C45" s="62"/>
      <c r="D45" s="53"/>
      <c r="E45" s="18"/>
      <c r="F45" s="18"/>
      <c r="G45" s="18"/>
    </row>
  </sheetData>
  <customSheetViews>
    <customSheetView guid="{560D4AFA-61E5-46C3-B0CD-D0EB3053A033}" scale="75" colorId="22" showPageBreaks="1" printArea="1" hiddenRows="1" showRuler="0">
      <selection activeCell="B7" sqref="B7:B14"/>
      <pageMargins left="0.75" right="0.5" top="0.75" bottom="0.5" header="0.5" footer="0.5"/>
      <pageSetup scale="90" orientation="landscape" r:id="rId1"/>
      <headerFooter alignWithMargins="0"/>
    </customSheetView>
    <customSheetView guid="{1ECE83C7-A3CE-4F97-BFD3-498FF783C0D9}" scale="75" colorId="22" showPageBreaks="1" printArea="1" showRuler="0" topLeftCell="A17">
      <selection activeCell="H29" sqref="H29"/>
      <pageMargins left="0.75" right="0.5" top="0.75" bottom="0.5" header="0.5" footer="0.5"/>
      <pageSetup scale="90" orientation="landscape" r:id="rId2"/>
      <headerFooter alignWithMargins="0"/>
    </customSheetView>
    <customSheetView guid="{6EF643BE-69F3-424E-8A44-3890161370D4}" scale="87" colorId="22" showPageBreaks="1" printArea="1" showRuler="0" topLeftCell="A4">
      <selection activeCell="H13" sqref="H13"/>
      <pageMargins left="0.5" right="0.5" top="0.5" bottom="0.5" header="0.5" footer="0.5"/>
      <pageSetup scale="96" orientation="landscape" r:id="rId3"/>
      <headerFooter alignWithMargins="0"/>
    </customSheetView>
    <customSheetView guid="{FBB4BF8E-8A9F-4E98-A6F9-5F9BF4C55C67}" scale="87" colorId="22" showPageBreaks="1" showRuler="0" topLeftCell="C5">
      <selection activeCell="I16" sqref="I16"/>
      <pageMargins left="0.5" right="0.5" top="0.5" bottom="0.5" header="0.5" footer="0.5"/>
      <pageSetup orientation="landscape" r:id="rId4"/>
      <headerFooter alignWithMargins="0"/>
    </customSheetView>
    <customSheetView guid="{EB776EFC-3589-4DB5-BEAF-1E83D9703F9E}" scale="87" colorId="22" showRuler="0" topLeftCell="A8">
      <selection activeCell="H21" sqref="H21"/>
      <pageMargins left="0.5" right="0.5" top="0.5" bottom="0.5" header="0.5" footer="0.5"/>
      <pageSetup orientation="landscape" r:id="rId5"/>
      <headerFooter alignWithMargins="0"/>
    </customSheetView>
    <customSheetView guid="{AEA5979F-5357-4ED6-A6CA-1BB80F5C7A74}" scale="87" colorId="22" showPageBreaks="1" printArea="1" showRuler="0">
      <selection activeCell="A21" sqref="A21"/>
      <pageMargins left="0.5" right="0.5" top="0.5" bottom="0.5" header="0.5" footer="0.5"/>
      <pageSetup scale="96" orientation="landscape" r:id="rId6"/>
      <headerFooter alignWithMargins="0"/>
    </customSheetView>
    <customSheetView guid="{28F81D13-D146-4D67-8981-BA5D7A496326}" scale="87" colorId="22" showPageBreaks="1" printArea="1" showRuler="0" topLeftCell="A7">
      <selection activeCell="H12" sqref="H12"/>
      <pageMargins left="0.5" right="0.5" top="0.5" bottom="0.5" header="0.5" footer="0.5"/>
      <pageSetup scale="96" orientation="landscape" r:id="rId7"/>
      <headerFooter alignWithMargins="0"/>
    </customSheetView>
    <customSheetView guid="{25C4E7E7-1006-4A2D-BC83-AEE4ADF8A914}" scale="75" colorId="22" showPageBreaks="1" printArea="1" hiddenRows="1" showRuler="0">
      <selection activeCell="A33" sqref="A33"/>
      <pageMargins left="0.75" right="0.5" top="0.75" bottom="0.5" header="0.5" footer="0.5"/>
      <pageSetup scale="90" orientation="landscape" r:id="rId8"/>
      <headerFooter alignWithMargins="0"/>
    </customSheetView>
  </customSheetViews>
  <phoneticPr fontId="0" type="noConversion"/>
  <pageMargins left="0.75" right="0.5" top="0.75" bottom="0.5" header="0.5" footer="0.5"/>
  <pageSetup scale="90" firstPageNumber="206" orientation="portrait" useFirstPageNumber="1"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P110"/>
  <sheetViews>
    <sheetView defaultGridColor="0" colorId="22" zoomScale="70" zoomScaleNormal="70" zoomScaleSheetLayoutView="55" zoomScalePageLayoutView="55" workbookViewId="0">
      <selection activeCell="I32" sqref="I32"/>
    </sheetView>
  </sheetViews>
  <sheetFormatPr defaultColWidth="9.77734375" defaultRowHeight="15"/>
  <cols>
    <col min="1" max="1" width="41" style="44" customWidth="1"/>
    <col min="2" max="2" width="8.5546875" style="44" customWidth="1"/>
    <col min="3" max="3" width="12" style="44" bestFit="1" customWidth="1"/>
    <col min="4" max="4" width="16" style="86" customWidth="1"/>
    <col min="5" max="5" width="16.109375" style="44" customWidth="1"/>
    <col min="6" max="6" width="15.6640625" style="44" customWidth="1"/>
    <col min="7" max="7" width="10.44140625" style="44" customWidth="1"/>
    <col min="8" max="8" width="11.109375" style="44" customWidth="1"/>
    <col min="9" max="9" width="12.77734375" style="44" customWidth="1"/>
    <col min="10" max="10" width="12.44140625" style="44" customWidth="1"/>
    <col min="11" max="12" width="9.77734375" style="44"/>
    <col min="13" max="13" width="12.44140625" style="44" customWidth="1"/>
    <col min="14" max="14" width="10.6640625" style="44" bestFit="1" customWidth="1"/>
    <col min="15" max="16384" width="9.77734375" style="44"/>
  </cols>
  <sheetData>
    <row r="1" spans="1:10" ht="16.5" customHeight="1">
      <c r="A1" s="1" t="str">
        <f>'Sources and Use'!A1</f>
        <v xml:space="preserve">Project Name: </v>
      </c>
      <c r="C1" s="24"/>
      <c r="E1" s="1"/>
      <c r="F1" s="25"/>
    </row>
    <row r="2" spans="1:10" ht="16.5" customHeight="1">
      <c r="A2" s="1" t="str">
        <f>'Units &amp; Income'!B2</f>
        <v>Site:</v>
      </c>
      <c r="C2" s="24"/>
      <c r="E2" s="1" t="str">
        <f>'Sources and Use'!C2</f>
        <v>Units:</v>
      </c>
      <c r="F2" s="25">
        <f>'Units &amp; Income'!C23</f>
        <v>0</v>
      </c>
    </row>
    <row r="3" spans="1:10" ht="15" customHeight="1">
      <c r="A3" s="24"/>
      <c r="B3" s="1"/>
      <c r="C3" s="24"/>
    </row>
    <row r="4" spans="1:10" ht="15.75" customHeight="1">
      <c r="A4" s="1" t="s">
        <v>126</v>
      </c>
      <c r="B4" s="49"/>
      <c r="C4" s="24"/>
      <c r="D4" s="50"/>
      <c r="E4" s="79"/>
      <c r="F4" s="25"/>
    </row>
    <row r="5" spans="1:10">
      <c r="A5" s="18"/>
      <c r="B5" s="18"/>
      <c r="C5" s="18"/>
      <c r="D5" s="80" t="s">
        <v>336</v>
      </c>
      <c r="E5" s="18"/>
      <c r="F5" s="18"/>
      <c r="G5" s="18"/>
    </row>
    <row r="6" spans="1:10">
      <c r="A6" s="687" t="s">
        <v>178</v>
      </c>
      <c r="B6" s="688"/>
      <c r="C6" s="689"/>
      <c r="D6" s="690">
        <v>0</v>
      </c>
      <c r="E6" s="691"/>
      <c r="F6" s="692"/>
      <c r="G6" s="18"/>
    </row>
    <row r="7" spans="1:10">
      <c r="A7" s="693"/>
      <c r="B7" s="168"/>
      <c r="C7" s="169"/>
      <c r="D7" s="177"/>
      <c r="E7" s="35"/>
      <c r="F7" s="694"/>
      <c r="G7" s="18"/>
      <c r="J7" s="44" t="s">
        <v>112</v>
      </c>
    </row>
    <row r="8" spans="1:10">
      <c r="A8" s="695" t="s">
        <v>179</v>
      </c>
      <c r="B8" s="81"/>
      <c r="C8" s="82"/>
      <c r="D8" s="175"/>
      <c r="E8" s="66"/>
      <c r="F8" s="694"/>
      <c r="G8" s="18" t="s">
        <v>112</v>
      </c>
      <c r="H8" s="44" t="s">
        <v>112</v>
      </c>
      <c r="I8" s="44" t="s">
        <v>112</v>
      </c>
      <c r="J8" s="44" t="s">
        <v>112</v>
      </c>
    </row>
    <row r="9" spans="1:10">
      <c r="A9" s="696" t="s">
        <v>172</v>
      </c>
      <c r="B9" s="81"/>
      <c r="C9" s="143"/>
      <c r="D9" s="177"/>
      <c r="E9" s="167"/>
      <c r="F9" s="694"/>
      <c r="G9" s="18"/>
    </row>
    <row r="10" spans="1:10">
      <c r="A10" s="697" t="s">
        <v>174</v>
      </c>
      <c r="B10" s="209" t="e">
        <f>D10/'Units &amp; Income'!C23</f>
        <v>#DIV/0!</v>
      </c>
      <c r="C10" s="66" t="s">
        <v>42</v>
      </c>
      <c r="D10" s="730"/>
      <c r="E10" s="550" t="e">
        <f>D10/'Units &amp; Income'!C5</f>
        <v>#DIV/0!</v>
      </c>
      <c r="F10" s="694" t="s">
        <v>109</v>
      </c>
      <c r="G10" s="18" t="s">
        <v>112</v>
      </c>
      <c r="H10" s="44" t="s">
        <v>113</v>
      </c>
      <c r="I10" s="44" t="s">
        <v>112</v>
      </c>
      <c r="J10" s="44" t="s">
        <v>112</v>
      </c>
    </row>
    <row r="11" spans="1:10">
      <c r="A11" s="698" t="s">
        <v>507</v>
      </c>
      <c r="B11" s="209"/>
      <c r="C11" s="66"/>
      <c r="D11" s="730"/>
      <c r="E11" s="684" t="e">
        <f>D11/'Units &amp; Income'!C6</f>
        <v>#DIV/0!</v>
      </c>
      <c r="F11" s="694"/>
      <c r="G11" s="18"/>
    </row>
    <row r="12" spans="1:10">
      <c r="A12" s="699" t="s">
        <v>246</v>
      </c>
      <c r="B12" s="83"/>
      <c r="C12" s="66"/>
      <c r="D12" s="730"/>
      <c r="E12" s="550" t="e">
        <f>D12/'Units &amp; Income'!C7</f>
        <v>#DIV/0!</v>
      </c>
      <c r="F12" s="694" t="s">
        <v>109</v>
      </c>
      <c r="G12" s="18" t="s">
        <v>112</v>
      </c>
      <c r="H12" s="44" t="s">
        <v>112</v>
      </c>
      <c r="I12" s="44" t="s">
        <v>112</v>
      </c>
      <c r="J12" s="44" t="s">
        <v>112</v>
      </c>
    </row>
    <row r="13" spans="1:10">
      <c r="A13" s="697" t="s">
        <v>173</v>
      </c>
      <c r="B13" s="83"/>
      <c r="C13" s="66"/>
      <c r="D13" s="730"/>
      <c r="E13" s="550" t="e">
        <f>D13/'Units &amp; Income'!C8</f>
        <v>#DIV/0!</v>
      </c>
      <c r="F13" s="694" t="s">
        <v>109</v>
      </c>
      <c r="G13" s="18"/>
    </row>
    <row r="14" spans="1:10">
      <c r="A14" s="697" t="s">
        <v>108</v>
      </c>
      <c r="B14" s="35"/>
      <c r="C14" s="66"/>
      <c r="D14" s="730"/>
      <c r="E14" s="550" t="e">
        <f>D14/'Units &amp; Income'!C9</f>
        <v>#DIV/0!</v>
      </c>
      <c r="F14" s="694" t="s">
        <v>109</v>
      </c>
      <c r="G14" s="18" t="s">
        <v>112</v>
      </c>
      <c r="H14" s="44" t="s">
        <v>112</v>
      </c>
      <c r="I14" s="44" t="s">
        <v>112</v>
      </c>
      <c r="J14" s="44" t="s">
        <v>112</v>
      </c>
    </row>
    <row r="15" spans="1:10" ht="17.25">
      <c r="A15" s="700" t="s">
        <v>67</v>
      </c>
      <c r="B15" s="723"/>
      <c r="C15" s="85"/>
      <c r="D15" s="729">
        <f>B15*($D$10+$D$12+$D$13+$D$14)</f>
        <v>0</v>
      </c>
      <c r="E15" s="728"/>
      <c r="F15" s="694"/>
      <c r="G15" s="18" t="s">
        <v>112</v>
      </c>
      <c r="H15" s="44" t="s">
        <v>112</v>
      </c>
      <c r="I15" s="44" t="s">
        <v>112</v>
      </c>
      <c r="J15" s="44" t="s">
        <v>112</v>
      </c>
    </row>
    <row r="16" spans="1:10">
      <c r="A16" s="701" t="s">
        <v>177</v>
      </c>
      <c r="B16" s="83" t="e">
        <f>D16/'Units &amp; Income'!C23</f>
        <v>#DIV/0!</v>
      </c>
      <c r="C16" s="66" t="s">
        <v>42</v>
      </c>
      <c r="D16" s="178">
        <f>SUM(D10:D15)</f>
        <v>0</v>
      </c>
      <c r="E16" s="728" t="e">
        <f>D16/'Units &amp; Income'!C10</f>
        <v>#DIV/0!</v>
      </c>
      <c r="F16" s="702" t="s">
        <v>105</v>
      </c>
      <c r="G16" s="18"/>
    </row>
    <row r="17" spans="1:16">
      <c r="A17" s="696"/>
      <c r="B17" s="35"/>
      <c r="C17" s="36"/>
      <c r="D17" s="177"/>
      <c r="E17" s="35"/>
      <c r="F17" s="694"/>
      <c r="G17" s="18"/>
    </row>
    <row r="18" spans="1:16">
      <c r="A18" s="696"/>
      <c r="B18" s="35"/>
      <c r="C18" s="36"/>
      <c r="D18" s="177"/>
      <c r="E18" s="35"/>
      <c r="F18" s="694"/>
      <c r="G18" s="18"/>
    </row>
    <row r="19" spans="1:16">
      <c r="A19" s="695" t="s">
        <v>180</v>
      </c>
      <c r="B19" s="81"/>
      <c r="C19" s="82"/>
      <c r="D19" s="177"/>
      <c r="E19" s="35"/>
      <c r="F19" s="694"/>
      <c r="G19" s="18"/>
      <c r="H19" s="18"/>
      <c r="I19" s="18"/>
      <c r="J19" s="18"/>
      <c r="K19" s="18"/>
      <c r="L19" s="18"/>
      <c r="M19" s="18"/>
      <c r="N19" s="18"/>
      <c r="O19" s="18"/>
      <c r="P19" s="18"/>
    </row>
    <row r="20" spans="1:16" ht="15.4">
      <c r="A20" s="703"/>
      <c r="B20" s="81"/>
      <c r="C20" s="82"/>
      <c r="D20" s="176"/>
      <c r="E20" s="35"/>
      <c r="F20" s="694"/>
      <c r="G20" s="18"/>
      <c r="H20" s="18"/>
      <c r="I20" s="18"/>
      <c r="J20" s="18"/>
      <c r="K20" s="18"/>
      <c r="L20" s="18"/>
      <c r="M20" s="18"/>
      <c r="N20" s="18"/>
      <c r="O20" s="18"/>
      <c r="P20" s="18"/>
    </row>
    <row r="21" spans="1:16">
      <c r="A21" s="696" t="s">
        <v>43</v>
      </c>
      <c r="B21" s="35"/>
      <c r="C21" s="36"/>
      <c r="D21" s="551"/>
      <c r="E21" s="185"/>
      <c r="F21" s="694"/>
      <c r="G21" s="18"/>
      <c r="H21" s="18"/>
      <c r="I21" s="18"/>
      <c r="J21" s="18"/>
      <c r="K21" s="18"/>
      <c r="L21" s="18"/>
      <c r="M21" s="18"/>
      <c r="N21" s="18"/>
      <c r="O21" s="18"/>
      <c r="P21" s="18"/>
    </row>
    <row r="22" spans="1:16">
      <c r="A22" s="696" t="s">
        <v>45</v>
      </c>
      <c r="B22" s="35"/>
      <c r="C22" s="210"/>
      <c r="D22" s="551"/>
      <c r="E22" s="209"/>
      <c r="F22" s="694"/>
      <c r="G22" s="18"/>
      <c r="H22" s="18"/>
      <c r="I22" s="18"/>
      <c r="J22" s="18"/>
      <c r="K22" s="18"/>
      <c r="L22" s="18"/>
      <c r="M22" s="18"/>
      <c r="N22" s="18"/>
      <c r="O22" s="18"/>
      <c r="P22" s="18"/>
    </row>
    <row r="23" spans="1:16">
      <c r="A23" s="696" t="s">
        <v>243</v>
      </c>
      <c r="B23" s="35"/>
      <c r="C23" s="36"/>
      <c r="D23" s="551"/>
      <c r="E23" s="187"/>
      <c r="F23" s="694"/>
      <c r="G23" s="18"/>
      <c r="H23" s="18"/>
      <c r="I23" s="18"/>
      <c r="J23" s="18"/>
      <c r="K23" s="18"/>
      <c r="L23" s="18"/>
      <c r="M23" s="18"/>
      <c r="N23" s="18"/>
      <c r="O23" s="18"/>
      <c r="P23" s="18"/>
    </row>
    <row r="24" spans="1:16">
      <c r="A24" s="696" t="s">
        <v>175</v>
      </c>
      <c r="B24" s="35"/>
      <c r="C24" s="36"/>
      <c r="D24" s="551"/>
      <c r="E24" s="187"/>
      <c r="F24" s="694"/>
      <c r="G24" s="18"/>
      <c r="H24" s="18"/>
      <c r="I24" s="18"/>
      <c r="J24" s="18"/>
      <c r="K24" s="18"/>
      <c r="L24" s="18"/>
      <c r="M24" s="18"/>
      <c r="N24" s="18"/>
      <c r="O24" s="18"/>
      <c r="P24" s="18"/>
    </row>
    <row r="25" spans="1:16">
      <c r="A25" s="696" t="s">
        <v>70</v>
      </c>
      <c r="B25" s="35"/>
      <c r="C25" s="36"/>
      <c r="D25" s="551"/>
      <c r="E25" s="187"/>
      <c r="F25" s="694"/>
      <c r="G25" s="18"/>
      <c r="H25" s="18"/>
      <c r="I25" s="18"/>
      <c r="J25" s="18"/>
      <c r="K25" s="18"/>
      <c r="L25" s="18"/>
      <c r="M25" s="18"/>
      <c r="N25" s="18"/>
      <c r="O25" s="18"/>
      <c r="P25" s="18"/>
    </row>
    <row r="26" spans="1:16">
      <c r="A26" s="696" t="s">
        <v>49</v>
      </c>
      <c r="B26" s="35"/>
      <c r="C26" s="36"/>
      <c r="D26" s="551"/>
      <c r="E26" s="187"/>
      <c r="F26" s="694"/>
      <c r="G26" s="18"/>
      <c r="H26" s="18"/>
      <c r="I26" s="18"/>
      <c r="J26" s="18"/>
      <c r="K26" s="18"/>
      <c r="L26" s="18"/>
      <c r="M26" s="21"/>
      <c r="N26" s="21"/>
      <c r="O26" s="21"/>
      <c r="P26" s="17"/>
    </row>
    <row r="27" spans="1:16">
      <c r="A27" s="696" t="s">
        <v>182</v>
      </c>
      <c r="B27" s="89"/>
      <c r="C27" s="36"/>
      <c r="D27" s="551"/>
      <c r="E27" s="37"/>
      <c r="F27" s="694"/>
      <c r="G27" s="18"/>
      <c r="H27" s="18"/>
      <c r="I27" s="18"/>
      <c r="J27" s="18"/>
      <c r="K27" s="18"/>
      <c r="L27" s="18"/>
      <c r="M27" s="18"/>
      <c r="N27" s="22"/>
      <c r="O27" s="21"/>
      <c r="P27" s="17"/>
    </row>
    <row r="28" spans="1:16">
      <c r="A28" s="696" t="s">
        <v>188</v>
      </c>
      <c r="B28" s="95"/>
      <c r="C28" s="36"/>
      <c r="D28" s="551"/>
      <c r="E28" s="187"/>
      <c r="F28" s="694"/>
      <c r="G28" s="18"/>
      <c r="H28" s="18"/>
      <c r="I28" s="18"/>
      <c r="J28" s="18"/>
      <c r="K28" s="18"/>
      <c r="L28" s="18"/>
      <c r="M28" s="18"/>
      <c r="N28" s="17"/>
      <c r="O28" s="17"/>
      <c r="P28" s="18"/>
    </row>
    <row r="29" spans="1:16">
      <c r="A29" s="696" t="s">
        <v>192</v>
      </c>
      <c r="B29" s="95"/>
      <c r="C29" s="36"/>
      <c r="D29" s="551"/>
      <c r="E29" s="187"/>
      <c r="F29" s="694"/>
      <c r="G29" s="18"/>
      <c r="H29" s="18"/>
      <c r="I29" s="18"/>
      <c r="J29" s="18"/>
      <c r="K29" s="18"/>
      <c r="L29" s="18"/>
      <c r="M29" s="18"/>
      <c r="N29" s="17"/>
      <c r="O29" s="17"/>
      <c r="P29" s="18"/>
    </row>
    <row r="30" spans="1:16">
      <c r="A30" s="696" t="s">
        <v>111</v>
      </c>
      <c r="B30" s="35"/>
      <c r="C30" s="36"/>
      <c r="D30" s="551"/>
      <c r="E30" s="187"/>
      <c r="F30" s="694"/>
      <c r="G30" s="18"/>
      <c r="H30" s="18"/>
      <c r="I30" s="18"/>
      <c r="J30" s="18"/>
      <c r="K30" s="18"/>
      <c r="L30" s="18"/>
      <c r="M30" s="21"/>
      <c r="N30" s="21"/>
      <c r="O30" s="21"/>
      <c r="P30" s="17"/>
    </row>
    <row r="31" spans="1:16">
      <c r="A31" s="696" t="s">
        <v>50</v>
      </c>
      <c r="B31" s="35"/>
      <c r="C31" s="36"/>
      <c r="D31" s="551"/>
      <c r="E31" s="187"/>
      <c r="F31" s="694"/>
      <c r="G31" s="18"/>
      <c r="H31" s="18"/>
      <c r="I31" s="18"/>
      <c r="J31" s="18"/>
      <c r="K31" s="18"/>
      <c r="L31" s="18"/>
      <c r="M31" s="18"/>
      <c r="N31" s="18"/>
      <c r="O31" s="18"/>
      <c r="P31" s="17"/>
    </row>
    <row r="32" spans="1:16">
      <c r="A32" s="696" t="s">
        <v>190</v>
      </c>
      <c r="B32" s="35"/>
      <c r="C32" s="36"/>
      <c r="D32" s="551"/>
      <c r="E32" s="187"/>
      <c r="F32" s="694"/>
      <c r="G32" s="18"/>
      <c r="H32" s="18"/>
      <c r="I32" s="18"/>
      <c r="J32" s="18"/>
      <c r="K32" s="18"/>
      <c r="L32" s="18"/>
      <c r="M32" s="18"/>
      <c r="N32" s="18"/>
      <c r="O32" s="18"/>
      <c r="P32" s="17"/>
    </row>
    <row r="33" spans="1:16">
      <c r="A33" s="696" t="s">
        <v>68</v>
      </c>
      <c r="B33" s="84"/>
      <c r="C33" s="36"/>
      <c r="D33" s="551"/>
      <c r="E33" s="187"/>
      <c r="F33" s="694"/>
      <c r="G33" s="18"/>
      <c r="H33" s="18"/>
      <c r="I33" s="18"/>
      <c r="J33" s="18"/>
      <c r="K33" s="18"/>
      <c r="L33" s="18"/>
      <c r="M33" s="18"/>
      <c r="N33" s="18"/>
      <c r="O33" s="18"/>
      <c r="P33" s="18"/>
    </row>
    <row r="34" spans="1:16">
      <c r="A34" s="696" t="s">
        <v>176</v>
      </c>
      <c r="B34" s="84"/>
      <c r="C34" s="36"/>
      <c r="D34" s="551"/>
      <c r="E34" s="187"/>
      <c r="F34" s="694"/>
      <c r="G34" s="18"/>
      <c r="H34" s="18"/>
      <c r="I34" s="18"/>
      <c r="J34" s="18"/>
      <c r="K34" s="18"/>
      <c r="L34" s="18"/>
      <c r="M34" s="18"/>
      <c r="N34" s="18"/>
      <c r="O34" s="18"/>
      <c r="P34" s="18"/>
    </row>
    <row r="35" spans="1:16" ht="17.25">
      <c r="A35" s="704" t="s">
        <v>372</v>
      </c>
      <c r="B35" s="81"/>
      <c r="C35" s="36"/>
      <c r="D35" s="725"/>
      <c r="E35" s="187"/>
      <c r="F35" s="694"/>
      <c r="G35" s="18"/>
      <c r="H35" s="18"/>
      <c r="I35" s="18"/>
      <c r="J35" s="18"/>
      <c r="K35" s="18"/>
      <c r="L35" s="18"/>
      <c r="M35" s="87"/>
      <c r="N35" s="71"/>
      <c r="O35" s="22"/>
      <c r="P35" s="88"/>
    </row>
    <row r="36" spans="1:16">
      <c r="A36" s="701" t="s">
        <v>46</v>
      </c>
      <c r="B36" s="146"/>
      <c r="C36" s="147"/>
      <c r="D36" s="517">
        <f>SUM(D21:D35)</f>
        <v>0</v>
      </c>
      <c r="E36" s="35"/>
      <c r="F36" s="694"/>
      <c r="G36" s="18"/>
      <c r="H36" s="18"/>
      <c r="I36" s="18"/>
      <c r="J36" s="18"/>
      <c r="K36" s="18"/>
      <c r="L36" s="18"/>
      <c r="M36" s="21"/>
      <c r="N36" s="18"/>
      <c r="O36" s="18"/>
      <c r="P36" s="17"/>
    </row>
    <row r="37" spans="1:16">
      <c r="A37" s="696"/>
      <c r="B37" s="40"/>
      <c r="C37" s="95"/>
      <c r="D37" s="177"/>
      <c r="E37" s="35"/>
      <c r="F37" s="694"/>
      <c r="G37" s="18"/>
      <c r="H37" s="18"/>
      <c r="I37" s="18"/>
      <c r="J37" s="18"/>
      <c r="K37" s="18"/>
      <c r="L37" s="18"/>
      <c r="M37" s="18"/>
      <c r="N37" s="18"/>
      <c r="O37" s="18"/>
      <c r="P37" s="17"/>
    </row>
    <row r="38" spans="1:16">
      <c r="A38" s="705" t="s">
        <v>368</v>
      </c>
      <c r="B38" s="40"/>
      <c r="C38" s="95"/>
      <c r="D38" s="176"/>
      <c r="E38" s="35"/>
      <c r="F38" s="694"/>
      <c r="G38" s="18"/>
      <c r="H38" s="18"/>
      <c r="I38" s="18"/>
      <c r="J38" s="18"/>
      <c r="K38" s="18"/>
      <c r="L38" s="18"/>
      <c r="M38" s="18"/>
      <c r="N38" s="18"/>
      <c r="O38" s="18"/>
      <c r="P38" s="17"/>
    </row>
    <row r="39" spans="1:16">
      <c r="A39" s="696" t="s">
        <v>74</v>
      </c>
      <c r="B39" s="518"/>
      <c r="C39" s="38" t="s">
        <v>385</v>
      </c>
      <c r="D39" s="550" t="e">
        <f ca="1">'Devel. Bud'!B39*'Cons Int &amp; Neg Arb'!C74</f>
        <v>#DIV/0!</v>
      </c>
      <c r="E39" s="37"/>
      <c r="F39" s="706"/>
      <c r="G39" s="18"/>
      <c r="H39" s="18"/>
      <c r="I39" s="522"/>
      <c r="J39" s="18"/>
      <c r="K39" s="18"/>
      <c r="L39" s="18"/>
      <c r="M39" s="18"/>
      <c r="N39" s="18"/>
      <c r="O39" s="68"/>
      <c r="P39" s="70"/>
    </row>
    <row r="40" spans="1:16">
      <c r="A40" s="696" t="s">
        <v>75</v>
      </c>
      <c r="B40" s="518"/>
      <c r="C40" s="38" t="s">
        <v>386</v>
      </c>
      <c r="D40" s="550" t="e">
        <f ca="1">B40*'Cons Int &amp; Neg Arb'!C74*'Cons Int &amp; Neg Arb'!C16</f>
        <v>#DIV/0!</v>
      </c>
      <c r="E40" s="41"/>
      <c r="F40" s="707"/>
      <c r="G40" s="18"/>
      <c r="H40" s="18"/>
      <c r="I40" s="18"/>
      <c r="J40" s="18"/>
      <c r="K40" s="18"/>
      <c r="L40" s="18"/>
      <c r="M40" s="69"/>
      <c r="N40" s="71"/>
      <c r="O40" s="22"/>
      <c r="P40" s="17"/>
    </row>
    <row r="41" spans="1:16">
      <c r="A41" s="696" t="s">
        <v>369</v>
      </c>
      <c r="B41" s="518"/>
      <c r="C41" s="38" t="s">
        <v>387</v>
      </c>
      <c r="D41" s="550" t="e">
        <f ca="1">B41*$D$80</f>
        <v>#DIV/0!</v>
      </c>
      <c r="E41" s="41"/>
      <c r="F41" s="707"/>
      <c r="G41" s="18"/>
      <c r="H41" s="18"/>
      <c r="I41" s="18"/>
      <c r="J41" s="18"/>
      <c r="K41" s="18"/>
      <c r="L41" s="18"/>
      <c r="M41" s="21"/>
      <c r="N41" s="21"/>
      <c r="O41" s="21"/>
      <c r="P41" s="17"/>
    </row>
    <row r="42" spans="1:16">
      <c r="A42" s="708" t="s">
        <v>459</v>
      </c>
      <c r="B42" s="518"/>
      <c r="C42" s="38" t="s">
        <v>387</v>
      </c>
      <c r="D42" s="550" t="e">
        <f ca="1">B42*$D$80</f>
        <v>#DIV/0!</v>
      </c>
      <c r="E42" s="41"/>
      <c r="F42" s="707"/>
      <c r="G42" s="18"/>
      <c r="H42" s="18"/>
      <c r="I42" s="18"/>
      <c r="J42" s="18"/>
      <c r="K42" s="18"/>
      <c r="L42" s="18"/>
      <c r="M42" s="21"/>
      <c r="N42" s="21"/>
      <c r="O42" s="21"/>
      <c r="P42" s="17"/>
    </row>
    <row r="43" spans="1:16">
      <c r="A43" s="696" t="s">
        <v>71</v>
      </c>
      <c r="B43" s="518"/>
      <c r="C43" s="38" t="s">
        <v>387</v>
      </c>
      <c r="D43" s="550" t="e">
        <f ca="1">B43*$D$80</f>
        <v>#DIV/0!</v>
      </c>
      <c r="E43" s="37"/>
      <c r="F43" s="694"/>
      <c r="G43" s="18"/>
      <c r="H43" s="18"/>
      <c r="I43" s="18"/>
      <c r="J43" s="18"/>
      <c r="K43" s="18"/>
      <c r="L43" s="18"/>
      <c r="M43" s="18"/>
      <c r="N43" s="22"/>
      <c r="O43" s="21"/>
      <c r="P43" s="17"/>
    </row>
    <row r="44" spans="1:16">
      <c r="A44" s="696" t="s">
        <v>241</v>
      </c>
      <c r="B44" s="525"/>
      <c r="C44" s="36"/>
      <c r="D44" s="551"/>
      <c r="E44" s="37"/>
      <c r="F44" s="694"/>
      <c r="G44" s="18"/>
      <c r="H44" s="18"/>
      <c r="I44" s="18"/>
      <c r="J44" s="18"/>
      <c r="K44" s="18"/>
      <c r="L44" s="18"/>
      <c r="M44" s="18"/>
      <c r="N44" s="22"/>
      <c r="O44" s="21"/>
      <c r="P44" s="17"/>
    </row>
    <row r="45" spans="1:16">
      <c r="A45" s="696" t="s">
        <v>116</v>
      </c>
      <c r="B45" s="525"/>
      <c r="C45" s="36"/>
      <c r="D45" s="481"/>
      <c r="E45" s="35"/>
      <c r="F45" s="694"/>
      <c r="G45" s="18"/>
      <c r="H45" s="18"/>
      <c r="I45" s="18"/>
      <c r="J45" s="18"/>
      <c r="K45" s="18"/>
      <c r="L45" s="18"/>
      <c r="M45" s="18"/>
      <c r="N45" s="18"/>
      <c r="O45" s="18"/>
      <c r="P45" s="18"/>
    </row>
    <row r="46" spans="1:16" s="148" customFormat="1">
      <c r="A46" s="709" t="s">
        <v>468</v>
      </c>
      <c r="B46" s="525"/>
      <c r="C46" s="169"/>
      <c r="D46" s="482"/>
      <c r="E46" s="170" t="s">
        <v>112</v>
      </c>
      <c r="F46" s="710"/>
      <c r="G46" s="171"/>
      <c r="H46" s="171"/>
      <c r="I46" s="171"/>
      <c r="J46" s="171"/>
      <c r="K46" s="171"/>
      <c r="L46" s="171"/>
      <c r="M46" s="171"/>
      <c r="N46" s="171"/>
      <c r="O46" s="171"/>
      <c r="P46" s="171"/>
    </row>
    <row r="47" spans="1:16" s="148" customFormat="1" ht="14.25" customHeight="1">
      <c r="A47" s="704" t="s">
        <v>234</v>
      </c>
      <c r="B47" s="525"/>
      <c r="C47" s="169"/>
      <c r="D47" s="482"/>
      <c r="E47" s="170"/>
      <c r="F47" s="710"/>
      <c r="G47" s="171"/>
      <c r="H47" s="171"/>
      <c r="I47" s="171"/>
      <c r="J47" s="171"/>
      <c r="K47" s="171"/>
      <c r="L47" s="171"/>
      <c r="M47" s="171"/>
      <c r="N47" s="171"/>
      <c r="O47" s="171"/>
      <c r="P47" s="171"/>
    </row>
    <row r="48" spans="1:16" s="148" customFormat="1" ht="17.25">
      <c r="A48" s="704" t="s">
        <v>191</v>
      </c>
      <c r="B48" s="525"/>
      <c r="C48" s="169"/>
      <c r="D48" s="483"/>
      <c r="E48" s="170"/>
      <c r="F48" s="710"/>
      <c r="G48" s="171"/>
      <c r="H48" s="171"/>
      <c r="I48" s="171"/>
      <c r="J48" s="171"/>
      <c r="K48" s="171"/>
      <c r="L48" s="171"/>
      <c r="M48" s="171"/>
      <c r="N48" s="171"/>
      <c r="O48" s="171"/>
      <c r="P48" s="171"/>
    </row>
    <row r="49" spans="1:16" ht="17.25">
      <c r="A49" s="704" t="s">
        <v>372</v>
      </c>
      <c r="B49" s="81"/>
      <c r="C49" s="36"/>
      <c r="D49" s="727"/>
      <c r="E49" s="187"/>
      <c r="F49" s="694"/>
      <c r="G49" s="18"/>
      <c r="H49" s="18"/>
      <c r="I49" s="18"/>
      <c r="J49" s="18"/>
      <c r="K49" s="18"/>
      <c r="L49" s="18"/>
      <c r="M49" s="87"/>
      <c r="N49" s="71"/>
      <c r="O49" s="22"/>
      <c r="P49" s="88"/>
    </row>
    <row r="50" spans="1:16">
      <c r="A50" s="701" t="s">
        <v>46</v>
      </c>
      <c r="B50" s="146"/>
      <c r="C50" s="147"/>
      <c r="D50" s="178" t="e">
        <f ca="1">SUM(D39:D49)</f>
        <v>#DIV/0!</v>
      </c>
      <c r="E50" s="35"/>
      <c r="F50" s="694"/>
      <c r="G50" s="18"/>
      <c r="H50" s="18"/>
      <c r="I50" s="18"/>
      <c r="J50" s="18"/>
      <c r="K50" s="18"/>
      <c r="L50" s="18"/>
      <c r="M50" s="18"/>
      <c r="N50" s="18"/>
      <c r="O50" s="18"/>
      <c r="P50" s="18"/>
    </row>
    <row r="51" spans="1:16">
      <c r="A51" s="711"/>
      <c r="B51" s="150"/>
      <c r="C51" s="36"/>
      <c r="D51" s="231"/>
      <c r="E51" s="35"/>
      <c r="F51" s="694"/>
      <c r="G51" s="18"/>
      <c r="H51" s="18"/>
      <c r="I51" s="18"/>
      <c r="J51" s="18"/>
      <c r="K51" s="18"/>
      <c r="L51" s="18"/>
      <c r="M51" s="18"/>
      <c r="N51" s="18"/>
      <c r="O51" s="18"/>
      <c r="P51" s="18"/>
    </row>
    <row r="52" spans="1:16">
      <c r="A52" s="705" t="s">
        <v>366</v>
      </c>
      <c r="B52" s="35"/>
      <c r="C52" s="36"/>
      <c r="D52" s="232"/>
      <c r="E52" s="35"/>
      <c r="F52" s="694"/>
      <c r="G52" s="18"/>
      <c r="H52" s="18"/>
      <c r="I52" s="18"/>
      <c r="J52" s="18"/>
      <c r="K52" s="18"/>
      <c r="L52" s="18"/>
      <c r="M52" s="18"/>
      <c r="N52" s="18"/>
      <c r="O52" s="18"/>
      <c r="P52" s="18"/>
    </row>
    <row r="53" spans="1:16">
      <c r="A53" s="696" t="s">
        <v>51</v>
      </c>
      <c r="B53" s="35"/>
      <c r="C53" s="85"/>
      <c r="D53" s="523" t="e">
        <f ca="1">'Cons Int &amp; Neg Arb'!F42</f>
        <v>#DIV/0!</v>
      </c>
      <c r="E53" s="37" t="s">
        <v>367</v>
      </c>
      <c r="F53" s="694"/>
      <c r="G53" s="18"/>
      <c r="H53" s="18"/>
      <c r="I53" s="18"/>
      <c r="J53" s="18"/>
      <c r="K53" s="18"/>
      <c r="L53" s="18"/>
      <c r="M53" s="87"/>
      <c r="N53" s="18"/>
      <c r="O53" s="18"/>
      <c r="P53" s="18"/>
    </row>
    <row r="54" spans="1:16">
      <c r="A54" s="696" t="s">
        <v>47</v>
      </c>
      <c r="B54" s="35"/>
      <c r="C54" s="36"/>
      <c r="D54" s="686" t="e">
        <f ca="1">'Cons Int &amp; Neg Arb'!B67</f>
        <v>#DIV/0!</v>
      </c>
      <c r="E54" s="37"/>
      <c r="F54" s="712"/>
      <c r="G54" s="18"/>
      <c r="H54" s="18"/>
      <c r="I54" s="18"/>
      <c r="J54" s="18"/>
      <c r="K54" s="18"/>
      <c r="L54" s="18"/>
      <c r="M54" s="18"/>
      <c r="N54" s="18"/>
      <c r="O54" s="18"/>
      <c r="P54" s="18"/>
    </row>
    <row r="55" spans="1:16">
      <c r="A55" s="696" t="s">
        <v>239</v>
      </c>
      <c r="B55" s="84"/>
      <c r="C55" s="66"/>
      <c r="D55" s="603"/>
      <c r="E55" s="37"/>
      <c r="F55" s="694"/>
      <c r="G55" s="18"/>
      <c r="H55" s="18"/>
      <c r="I55" s="18"/>
      <c r="J55" s="18"/>
      <c r="K55" s="18"/>
      <c r="L55" s="18"/>
      <c r="M55" s="18"/>
      <c r="N55" s="18"/>
      <c r="O55" s="18"/>
      <c r="P55" s="18"/>
    </row>
    <row r="56" spans="1:16">
      <c r="A56" s="696" t="s">
        <v>193</v>
      </c>
      <c r="B56" s="35"/>
      <c r="C56" s="66"/>
      <c r="D56" s="604"/>
      <c r="E56" s="35"/>
      <c r="F56" s="694"/>
      <c r="G56" s="18"/>
      <c r="H56" s="18"/>
      <c r="I56" s="18"/>
      <c r="J56" s="18"/>
      <c r="K56" s="18"/>
      <c r="L56" s="18"/>
      <c r="M56" s="18"/>
      <c r="N56" s="18"/>
      <c r="O56" s="18"/>
      <c r="P56" s="18"/>
    </row>
    <row r="57" spans="1:16">
      <c r="A57" s="696" t="s">
        <v>53</v>
      </c>
      <c r="B57" s="35"/>
      <c r="C57" s="66"/>
      <c r="D57" s="604"/>
      <c r="E57" s="35"/>
      <c r="F57" s="694"/>
      <c r="G57" s="18"/>
      <c r="H57" s="18"/>
      <c r="I57" s="18"/>
      <c r="J57" s="18"/>
      <c r="K57" s="18"/>
      <c r="L57" s="18"/>
      <c r="M57" s="18"/>
      <c r="N57" s="18"/>
      <c r="O57" s="18"/>
      <c r="P57" s="18"/>
    </row>
    <row r="58" spans="1:16">
      <c r="A58" s="696" t="s">
        <v>52</v>
      </c>
      <c r="B58" s="184"/>
      <c r="C58" s="66"/>
      <c r="D58" s="605"/>
      <c r="E58" s="186"/>
      <c r="F58" s="694"/>
      <c r="G58" s="18"/>
      <c r="H58" s="18"/>
      <c r="I58" s="18"/>
      <c r="J58" s="18"/>
      <c r="K58" s="18"/>
      <c r="L58" s="18"/>
      <c r="M58" s="18"/>
      <c r="N58" s="18"/>
      <c r="O58" s="18"/>
      <c r="P58" s="17"/>
    </row>
    <row r="59" spans="1:16">
      <c r="A59" s="696" t="s">
        <v>181</v>
      </c>
      <c r="B59" s="66"/>
      <c r="C59" s="66"/>
      <c r="D59" s="604"/>
      <c r="E59" s="66"/>
      <c r="F59" s="694"/>
      <c r="G59" s="18"/>
      <c r="H59" s="18"/>
      <c r="I59" s="18"/>
      <c r="J59" s="18"/>
      <c r="K59" s="18"/>
      <c r="L59" s="18"/>
      <c r="M59" s="18"/>
      <c r="N59" s="18"/>
      <c r="O59" s="18"/>
      <c r="P59" s="17"/>
    </row>
    <row r="60" spans="1:16">
      <c r="A60" s="696" t="s">
        <v>54</v>
      </c>
      <c r="B60" s="209"/>
      <c r="C60" s="602"/>
      <c r="D60" s="605"/>
      <c r="E60" s="35"/>
      <c r="F60" s="694"/>
      <c r="G60" s="18"/>
      <c r="H60" s="18"/>
      <c r="I60" s="18"/>
      <c r="J60" s="18"/>
      <c r="K60" s="18"/>
      <c r="L60" s="18"/>
      <c r="M60" s="18"/>
      <c r="N60" s="18"/>
      <c r="O60" s="18"/>
      <c r="P60" s="18"/>
    </row>
    <row r="61" spans="1:16">
      <c r="A61" s="696" t="s">
        <v>79</v>
      </c>
      <c r="B61" s="111"/>
      <c r="C61" s="111"/>
      <c r="D61" s="606"/>
      <c r="E61" s="149"/>
      <c r="F61" s="713"/>
    </row>
    <row r="62" spans="1:16" ht="17.25">
      <c r="A62" s="704" t="s">
        <v>372</v>
      </c>
      <c r="B62" s="81"/>
      <c r="C62" s="66"/>
      <c r="D62" s="726"/>
      <c r="E62" s="724"/>
      <c r="F62" s="694"/>
      <c r="G62" s="18"/>
      <c r="H62" s="18"/>
      <c r="I62" s="18"/>
      <c r="J62" s="18"/>
      <c r="K62" s="18"/>
      <c r="L62" s="18"/>
      <c r="M62" s="87"/>
      <c r="N62" s="71"/>
      <c r="O62" s="22"/>
      <c r="P62" s="88"/>
    </row>
    <row r="63" spans="1:16">
      <c r="A63" s="701" t="s">
        <v>46</v>
      </c>
      <c r="B63" s="111"/>
      <c r="C63" s="111"/>
      <c r="D63" s="731" t="e">
        <f ca="1">SUM(D53:D62)</f>
        <v>#DIV/0!</v>
      </c>
      <c r="E63" s="149"/>
      <c r="F63" s="713"/>
    </row>
    <row r="64" spans="1:16">
      <c r="A64" s="696"/>
      <c r="B64" s="35"/>
      <c r="C64" s="36"/>
      <c r="D64" s="179"/>
      <c r="E64" s="35"/>
      <c r="F64" s="694"/>
      <c r="G64" s="18"/>
      <c r="H64" s="18"/>
      <c r="I64" s="18"/>
      <c r="J64" s="18"/>
      <c r="K64" s="18"/>
      <c r="L64" s="18"/>
      <c r="M64" s="18"/>
      <c r="N64" s="18"/>
      <c r="O64" s="18"/>
      <c r="P64" s="18"/>
    </row>
    <row r="65" spans="1:16">
      <c r="A65" s="705" t="s">
        <v>215</v>
      </c>
      <c r="B65" s="35"/>
      <c r="C65" s="36"/>
      <c r="D65" s="179"/>
      <c r="E65" s="35"/>
      <c r="F65" s="694"/>
      <c r="G65" s="18"/>
      <c r="H65" s="18"/>
      <c r="I65" s="18"/>
      <c r="J65" s="18"/>
      <c r="K65" s="18"/>
      <c r="L65" s="18"/>
      <c r="M65" s="18"/>
      <c r="N65" s="18"/>
      <c r="O65" s="18"/>
      <c r="P65" s="18"/>
    </row>
    <row r="66" spans="1:16">
      <c r="A66" s="696" t="s">
        <v>240</v>
      </c>
      <c r="B66" s="35"/>
      <c r="C66" s="36"/>
      <c r="D66" s="484"/>
      <c r="E66" s="35"/>
      <c r="F66" s="694"/>
      <c r="G66" s="18"/>
      <c r="H66" s="18"/>
      <c r="I66" s="18"/>
      <c r="J66" s="18"/>
      <c r="K66" s="18"/>
      <c r="L66" s="18"/>
      <c r="M66" s="18"/>
      <c r="N66" s="18"/>
      <c r="O66" s="18"/>
      <c r="P66" s="18"/>
    </row>
    <row r="67" spans="1:16">
      <c r="A67" s="696" t="s">
        <v>189</v>
      </c>
      <c r="B67" s="607"/>
      <c r="C67" s="90" t="s">
        <v>101</v>
      </c>
      <c r="D67" s="179">
        <f>B67*'Units &amp; Income'!C23</f>
        <v>0</v>
      </c>
      <c r="E67" s="37"/>
      <c r="F67" s="694"/>
      <c r="G67" s="171"/>
      <c r="H67" s="18"/>
      <c r="I67" s="18"/>
      <c r="J67" s="18"/>
      <c r="K67" s="18"/>
      <c r="L67" s="18"/>
      <c r="M67" s="18"/>
      <c r="N67" s="18"/>
      <c r="O67" s="18"/>
      <c r="P67" s="18"/>
    </row>
    <row r="68" spans="1:16">
      <c r="A68" s="696" t="s">
        <v>244</v>
      </c>
      <c r="B68" s="35"/>
      <c r="C68" s="90"/>
      <c r="D68" s="484"/>
      <c r="E68" s="37"/>
      <c r="F68" s="694"/>
      <c r="G68" s="18"/>
      <c r="H68" s="18"/>
      <c r="I68" s="18"/>
      <c r="J68" s="18"/>
      <c r="K68" s="18"/>
      <c r="L68" s="18"/>
      <c r="M68" s="18"/>
      <c r="N68" s="18"/>
      <c r="O68" s="18"/>
      <c r="P68" s="18"/>
    </row>
    <row r="69" spans="1:16">
      <c r="A69" s="696" t="s">
        <v>78</v>
      </c>
      <c r="B69" s="35"/>
      <c r="C69" s="36"/>
      <c r="D69" s="535"/>
      <c r="E69" s="48" t="e">
        <f ca="1">D69/D72</f>
        <v>#DIV/0!</v>
      </c>
      <c r="F69" s="694" t="s">
        <v>107</v>
      </c>
      <c r="G69" s="18"/>
      <c r="H69" s="18"/>
      <c r="I69" s="18"/>
      <c r="J69" s="18"/>
      <c r="K69" s="18"/>
      <c r="L69" s="18"/>
      <c r="M69" s="18"/>
      <c r="N69" s="18"/>
      <c r="O69" s="18"/>
      <c r="P69" s="18"/>
    </row>
    <row r="70" spans="1:16">
      <c r="A70" s="714" t="s">
        <v>46</v>
      </c>
      <c r="B70" s="35"/>
      <c r="C70" s="36"/>
      <c r="D70" s="178">
        <f>SUM(D65:D69)</f>
        <v>0</v>
      </c>
      <c r="E70" s="41"/>
      <c r="F70" s="694"/>
      <c r="G70" s="21"/>
      <c r="H70" s="18"/>
      <c r="I70" s="18"/>
      <c r="J70" s="18"/>
      <c r="K70" s="18"/>
      <c r="L70" s="18"/>
      <c r="M70" s="18"/>
      <c r="N70" s="18"/>
      <c r="O70" s="18"/>
      <c r="P70" s="18"/>
    </row>
    <row r="71" spans="1:16">
      <c r="A71" s="696"/>
      <c r="B71" s="35"/>
      <c r="C71" s="36"/>
      <c r="D71" s="177"/>
      <c r="E71" s="41"/>
      <c r="F71" s="694"/>
      <c r="G71" s="21"/>
      <c r="H71" s="18"/>
      <c r="I71" s="18"/>
      <c r="J71" s="18"/>
      <c r="K71" s="18"/>
      <c r="L71" s="18"/>
      <c r="M71" s="18"/>
      <c r="N71" s="18"/>
      <c r="O71" s="18"/>
      <c r="P71" s="18"/>
    </row>
    <row r="72" spans="1:16">
      <c r="A72" s="705" t="s">
        <v>106</v>
      </c>
      <c r="B72" s="35"/>
      <c r="C72" s="36"/>
      <c r="D72" s="517" t="e">
        <f ca="1">D36+D50+D63+D70</f>
        <v>#DIV/0!</v>
      </c>
      <c r="E72" s="41"/>
      <c r="F72" s="694"/>
      <c r="G72" s="21"/>
      <c r="H72" s="18"/>
      <c r="I72" s="18"/>
      <c r="J72" s="18"/>
      <c r="K72" s="18"/>
      <c r="L72" s="18"/>
      <c r="M72" s="18"/>
      <c r="N72" s="18"/>
      <c r="O72" s="18"/>
      <c r="P72" s="18"/>
    </row>
    <row r="73" spans="1:16">
      <c r="A73" s="696"/>
      <c r="B73" s="35"/>
      <c r="C73" s="36"/>
      <c r="D73" s="177"/>
      <c r="E73" s="26"/>
      <c r="F73" s="715"/>
      <c r="G73" s="18"/>
      <c r="H73" s="18"/>
      <c r="I73" s="18"/>
      <c r="J73" s="18"/>
      <c r="K73" s="18"/>
      <c r="L73" s="18"/>
      <c r="M73" s="18"/>
      <c r="N73" s="18"/>
      <c r="O73" s="18"/>
      <c r="P73" s="18"/>
    </row>
    <row r="74" spans="1:16">
      <c r="A74" s="705" t="s">
        <v>55</v>
      </c>
      <c r="B74" s="144"/>
      <c r="C74" s="145"/>
      <c r="D74" s="485"/>
      <c r="E74" s="91" t="e">
        <f ca="1">D74/(D77-D74)</f>
        <v>#DIV/0!</v>
      </c>
      <c r="F74" s="716" t="s">
        <v>384</v>
      </c>
      <c r="G74" s="18"/>
    </row>
    <row r="75" spans="1:16">
      <c r="A75" s="696"/>
      <c r="B75" s="35"/>
      <c r="C75" s="36"/>
      <c r="D75" s="177"/>
      <c r="E75" s="35"/>
      <c r="F75" s="694"/>
    </row>
    <row r="76" spans="1:16">
      <c r="A76" s="696"/>
      <c r="B76" s="35"/>
      <c r="C76" s="36"/>
      <c r="D76" s="175"/>
      <c r="E76" s="35"/>
      <c r="F76" s="694"/>
      <c r="J76" s="208"/>
    </row>
    <row r="77" spans="1:16">
      <c r="A77" s="717" t="s">
        <v>56</v>
      </c>
      <c r="B77" s="718"/>
      <c r="C77" s="719"/>
      <c r="D77" s="720" t="e">
        <f ca="1">D6+D16+D72+D74</f>
        <v>#DIV/0!</v>
      </c>
      <c r="E77" s="721"/>
      <c r="F77" s="722"/>
    </row>
    <row r="78" spans="1:16" ht="12.75" customHeight="1">
      <c r="A78" s="18"/>
      <c r="B78" s="18"/>
      <c r="C78" s="18"/>
      <c r="D78" s="182"/>
      <c r="F78" s="21"/>
    </row>
    <row r="79" spans="1:16">
      <c r="A79" s="1" t="s">
        <v>77</v>
      </c>
      <c r="B79" s="18"/>
      <c r="C79" s="211"/>
      <c r="D79" s="181"/>
      <c r="E79" s="92"/>
      <c r="F79" s="52"/>
      <c r="G79" s="18"/>
    </row>
    <row r="80" spans="1:16">
      <c r="A80" s="68" t="str">
        <f t="shared" ref="A80:A87" si="0">A92</f>
        <v>First Mortgage (Lender:                                )</v>
      </c>
      <c r="B80" s="18"/>
      <c r="C80" s="211"/>
      <c r="D80" s="608" t="e">
        <f ca="1">0.51*D77</f>
        <v>#DIV/0!</v>
      </c>
      <c r="E80" s="22" t="e">
        <f ca="1">D80/$D$77</f>
        <v>#DIV/0!</v>
      </c>
    </row>
    <row r="81" spans="1:9">
      <c r="A81" s="68" t="str">
        <f t="shared" si="0"/>
        <v>Second Mortgage (Lender:                                )</v>
      </c>
      <c r="B81" s="18"/>
      <c r="C81" s="211"/>
      <c r="D81" s="562">
        <f>D93</f>
        <v>0</v>
      </c>
      <c r="E81" s="22" t="e">
        <f t="shared" ref="E81:E87" ca="1" si="1">D81/$D$77</f>
        <v>#DIV/0!</v>
      </c>
      <c r="F81" s="21"/>
    </row>
    <row r="82" spans="1:9">
      <c r="A82" s="68" t="str">
        <f t="shared" si="0"/>
        <v>Third Mortgage (Lender:                                )</v>
      </c>
      <c r="C82" s="208"/>
      <c r="D82" s="562">
        <f>D94</f>
        <v>0</v>
      </c>
      <c r="E82" s="22" t="e">
        <f t="shared" ca="1" si="1"/>
        <v>#DIV/0!</v>
      </c>
      <c r="H82" s="208"/>
    </row>
    <row r="83" spans="1:9">
      <c r="A83" s="68" t="str">
        <f t="shared" si="0"/>
        <v>Fourth Mortgage (Lender:                                )</v>
      </c>
      <c r="C83" s="208"/>
      <c r="D83" s="562">
        <f ca="1">D95</f>
        <v>0</v>
      </c>
      <c r="E83" s="22" t="e">
        <f t="shared" ca="1" si="1"/>
        <v>#DIV/0!</v>
      </c>
      <c r="H83" s="208"/>
    </row>
    <row r="84" spans="1:9">
      <c r="A84" s="68" t="str">
        <f t="shared" si="0"/>
        <v>LIHTC Equity</v>
      </c>
      <c r="C84" s="208"/>
      <c r="D84" s="474"/>
      <c r="E84" s="22" t="e">
        <f t="shared" ca="1" si="1"/>
        <v>#DIV/0!</v>
      </c>
      <c r="G84" s="18"/>
      <c r="H84" s="208"/>
    </row>
    <row r="85" spans="1:9">
      <c r="A85" s="68" t="str">
        <f t="shared" si="0"/>
        <v>Deferred Developer's Fee</v>
      </c>
      <c r="C85" s="208"/>
      <c r="D85" s="475"/>
      <c r="E85" s="22" t="e">
        <f t="shared" ca="1" si="1"/>
        <v>#DIV/0!</v>
      </c>
      <c r="G85" s="18"/>
      <c r="H85" s="208"/>
    </row>
    <row r="86" spans="1:9">
      <c r="A86" s="68" t="str">
        <f t="shared" si="0"/>
        <v>Developer Equity</v>
      </c>
      <c r="C86" s="208"/>
      <c r="D86" s="474"/>
      <c r="E86" s="22" t="e">
        <f ca="1">D86/$D$77</f>
        <v>#DIV/0!</v>
      </c>
      <c r="G86" s="18"/>
      <c r="H86" s="208"/>
    </row>
    <row r="87" spans="1:9">
      <c r="A87" s="68" t="str">
        <f t="shared" si="0"/>
        <v>Other source (Specify:                                )</v>
      </c>
      <c r="C87" s="208"/>
      <c r="D87" s="475"/>
      <c r="E87" s="22" t="e">
        <f t="shared" ca="1" si="1"/>
        <v>#DIV/0!</v>
      </c>
      <c r="G87" s="18"/>
      <c r="H87" s="208"/>
    </row>
    <row r="88" spans="1:9">
      <c r="A88" s="3" t="s">
        <v>471</v>
      </c>
      <c r="C88" s="208"/>
      <c r="D88" s="474" t="e">
        <f ca="1">D77-SUM(D80:D87)</f>
        <v>#DIV/0!</v>
      </c>
      <c r="E88" s="22" t="e">
        <f ca="1">D88/$D$77</f>
        <v>#DIV/0!</v>
      </c>
      <c r="G88" s="18"/>
      <c r="H88" s="208"/>
    </row>
    <row r="89" spans="1:9">
      <c r="A89" s="18" t="s">
        <v>1</v>
      </c>
      <c r="C89" s="208"/>
      <c r="D89" s="549" t="e">
        <f ca="1">SUM(D80:D87)</f>
        <v>#DIV/0!</v>
      </c>
      <c r="E89" s="22" t="e">
        <f ca="1">SUM(E80:E87)</f>
        <v>#DIV/0!</v>
      </c>
      <c r="G89" s="18"/>
      <c r="H89" s="208"/>
    </row>
    <row r="90" spans="1:9">
      <c r="C90" s="208"/>
      <c r="D90" s="180" t="s">
        <v>112</v>
      </c>
      <c r="F90"/>
      <c r="G90" s="167"/>
      <c r="H90" s="217"/>
      <c r="I90" s="217"/>
    </row>
    <row r="91" spans="1:9">
      <c r="A91" s="1" t="s">
        <v>73</v>
      </c>
      <c r="B91" s="18"/>
      <c r="C91" s="211"/>
      <c r="D91" s="190"/>
      <c r="E91" s="21"/>
      <c r="F91" s="94"/>
      <c r="G91" s="167"/>
      <c r="H91" s="217"/>
      <c r="I91" s="217"/>
    </row>
    <row r="92" spans="1:9">
      <c r="A92" s="68" t="s">
        <v>248</v>
      </c>
      <c r="B92" s="18"/>
      <c r="C92" s="211"/>
      <c r="D92" s="191" t="e">
        <f ca="1">FIRST</f>
        <v>#DIV/0!</v>
      </c>
      <c r="E92" s="22" t="e">
        <f ca="1">D92/$D$77</f>
        <v>#DIV/0!</v>
      </c>
      <c r="F92" s="94"/>
      <c r="G92" s="167"/>
      <c r="H92" s="217"/>
      <c r="I92" s="217"/>
    </row>
    <row r="93" spans="1:9">
      <c r="A93" s="68" t="s">
        <v>249</v>
      </c>
      <c r="B93" s="18"/>
      <c r="C93" s="211"/>
      <c r="D93" s="191">
        <f>Mort!I30</f>
        <v>0</v>
      </c>
      <c r="E93" s="22" t="e">
        <f t="shared" ref="E93:E99" ca="1" si="2">D93/$D$77</f>
        <v>#DIV/0!</v>
      </c>
      <c r="F93" s="167"/>
      <c r="G93" s="253"/>
      <c r="H93" s="254"/>
      <c r="I93" s="217"/>
    </row>
    <row r="94" spans="1:9">
      <c r="A94" s="68" t="s">
        <v>250</v>
      </c>
      <c r="B94" s="18"/>
      <c r="C94" s="211"/>
      <c r="D94" s="191">
        <f>Mort!J30</f>
        <v>0</v>
      </c>
      <c r="E94" s="22" t="e">
        <f t="shared" ca="1" si="2"/>
        <v>#DIV/0!</v>
      </c>
      <c r="F94" s="176"/>
      <c r="G94" s="253"/>
      <c r="H94" s="255"/>
      <c r="I94" s="217"/>
    </row>
    <row r="95" spans="1:9">
      <c r="A95" s="68" t="s">
        <v>251</v>
      </c>
      <c r="B95" s="18"/>
      <c r="C95" s="211"/>
      <c r="D95" s="191">
        <f ca="1">D83</f>
        <v>0</v>
      </c>
      <c r="E95" s="22" t="e">
        <f t="shared" ca="1" si="2"/>
        <v>#DIV/0!</v>
      </c>
      <c r="F95" s="167"/>
      <c r="G95" s="256"/>
      <c r="H95" s="255"/>
      <c r="I95" s="217"/>
    </row>
    <row r="96" spans="1:9">
      <c r="A96" s="68" t="s">
        <v>242</v>
      </c>
      <c r="B96" s="18"/>
      <c r="C96" s="211"/>
      <c r="D96" s="474"/>
      <c r="E96" s="22" t="e">
        <f t="shared" ca="1" si="2"/>
        <v>#DIV/0!</v>
      </c>
      <c r="F96" s="207"/>
      <c r="G96" s="257"/>
      <c r="H96" s="255"/>
      <c r="I96" s="217"/>
    </row>
    <row r="97" spans="1:9">
      <c r="A97" s="68" t="s">
        <v>65</v>
      </c>
      <c r="B97" s="18"/>
      <c r="C97" s="211"/>
      <c r="D97" s="475" t="e">
        <f ca="1">'Cash Flow'!C28</f>
        <v>#DIV/0!</v>
      </c>
      <c r="E97" s="22" t="e">
        <f t="shared" ca="1" si="2"/>
        <v>#DIV/0!</v>
      </c>
      <c r="F97" s="207"/>
      <c r="G97" s="257"/>
      <c r="H97" s="255"/>
      <c r="I97" s="217"/>
    </row>
    <row r="98" spans="1:9">
      <c r="A98" s="68" t="s">
        <v>252</v>
      </c>
      <c r="B98" s="18"/>
      <c r="C98" s="211"/>
      <c r="D98" s="474"/>
      <c r="E98" s="22" t="e">
        <f ca="1">D98/$D$77</f>
        <v>#DIV/0!</v>
      </c>
      <c r="F98" s="207"/>
      <c r="G98" s="257"/>
      <c r="H98" s="255"/>
      <c r="I98" s="217"/>
    </row>
    <row r="99" spans="1:9" ht="15" customHeight="1">
      <c r="A99" s="68" t="s">
        <v>253</v>
      </c>
      <c r="B99" s="18"/>
      <c r="C99" s="211"/>
      <c r="D99" s="475"/>
      <c r="E99" s="22" t="e">
        <f t="shared" ca="1" si="2"/>
        <v>#DIV/0!</v>
      </c>
      <c r="F99" s="94"/>
      <c r="G99" s="167"/>
      <c r="H99" s="217"/>
      <c r="I99" s="217"/>
    </row>
    <row r="100" spans="1:9">
      <c r="A100" s="3" t="s">
        <v>471</v>
      </c>
      <c r="B100" s="18"/>
      <c r="C100" s="211"/>
      <c r="D100" s="474" t="e">
        <f ca="1">D77-SUM(D92:D99)</f>
        <v>#DIV/0!</v>
      </c>
      <c r="E100" s="22" t="e">
        <f ca="1">D100/$D$77</f>
        <v>#DIV/0!</v>
      </c>
      <c r="F100" s="207"/>
      <c r="G100" s="257"/>
      <c r="H100" s="255"/>
      <c r="I100" s="217"/>
    </row>
    <row r="101" spans="1:9">
      <c r="A101" s="18" t="str">
        <f>A89</f>
        <v>Total</v>
      </c>
      <c r="B101" s="73"/>
      <c r="C101" s="211"/>
      <c r="D101" s="191" t="e">
        <f ca="1">SUM(D92:D100)</f>
        <v>#DIV/0!</v>
      </c>
      <c r="E101" s="22" t="e">
        <f ca="1">SUM(E92:E100)</f>
        <v>#DIV/0!</v>
      </c>
      <c r="F101" s="94"/>
      <c r="G101" s="217"/>
      <c r="H101" s="217"/>
      <c r="I101" s="217"/>
    </row>
    <row r="102" spans="1:9">
      <c r="A102" s="18"/>
      <c r="B102" s="73"/>
      <c r="C102" s="212"/>
      <c r="D102" s="192"/>
      <c r="E102" s="22"/>
      <c r="F102" s="207"/>
      <c r="G102" s="167"/>
      <c r="H102" s="217"/>
      <c r="I102" s="217"/>
    </row>
    <row r="103" spans="1:9">
      <c r="A103" s="18"/>
      <c r="B103" s="18"/>
      <c r="C103" s="211"/>
      <c r="D103" s="188"/>
      <c r="E103" s="22"/>
      <c r="F103" s="94"/>
      <c r="G103" s="217"/>
      <c r="H103" s="217"/>
      <c r="I103" s="217"/>
    </row>
    <row r="104" spans="1:9">
      <c r="A104" s="18"/>
      <c r="B104" s="18"/>
      <c r="C104" s="211"/>
      <c r="D104" s="181"/>
      <c r="E104" s="21"/>
      <c r="F104" s="94"/>
      <c r="G104" s="217"/>
      <c r="H104" s="217"/>
      <c r="I104" s="217"/>
    </row>
    <row r="105" spans="1:9">
      <c r="A105" s="11"/>
      <c r="B105" s="11"/>
      <c r="C105" s="213"/>
      <c r="D105" s="183"/>
      <c r="E105" s="18"/>
      <c r="F105" s="258"/>
      <c r="G105" s="217"/>
      <c r="H105" s="217"/>
      <c r="I105" s="217"/>
    </row>
    <row r="106" spans="1:9">
      <c r="A106" s="23"/>
      <c r="B106" s="13"/>
      <c r="C106" s="208"/>
    </row>
    <row r="107" spans="1:9">
      <c r="C107" s="208"/>
    </row>
    <row r="108" spans="1:9">
      <c r="C108" s="208"/>
    </row>
    <row r="109" spans="1:9">
      <c r="C109" s="208"/>
    </row>
    <row r="110" spans="1:9">
      <c r="C110" s="208"/>
    </row>
  </sheetData>
  <customSheetViews>
    <customSheetView guid="{560D4AFA-61E5-46C3-B0CD-D0EB3053A033}" scale="70" colorId="22" showPageBreaks="1" fitToPage="1" printArea="1" hiddenRows="1" showRuler="0">
      <selection activeCell="I23" sqref="I23"/>
      <pageMargins left="0.75" right="0.5" top="0.75" bottom="0.5" header="0.5" footer="0.5"/>
      <pageSetup scale="49" orientation="portrait" r:id="rId1"/>
      <headerFooter alignWithMargins="0"/>
    </customSheetView>
    <customSheetView guid="{1ECE83C7-A3CE-4F97-BFD3-498FF783C0D9}" scale="70" colorId="22" showPageBreaks="1" fitToPage="1" printArea="1" showRuler="0" topLeftCell="A34">
      <selection activeCell="A60" sqref="A60"/>
      <pageMargins left="0.75" right="0.5" top="0.75" bottom="0.5" header="0.5" footer="0.5"/>
      <pageSetup scale="53" orientation="portrait" r:id="rId2"/>
      <headerFooter alignWithMargins="0"/>
    </customSheetView>
    <customSheetView guid="{6EF643BE-69F3-424E-8A44-3890161370D4}" scale="75" colorId="22" showPageBreaks="1" fitToPage="1" printArea="1" showRuler="0">
      <selection activeCell="E77" sqref="E77"/>
      <pageMargins left="0.5" right="0.5" top="0.5" bottom="0.5" header="0.5" footer="0.5"/>
      <pageSetup scale="67" orientation="portrait" r:id="rId3"/>
      <headerFooter alignWithMargins="0"/>
    </customSheetView>
    <customSheetView guid="{FBB4BF8E-8A9F-4E98-A6F9-5F9BF4C55C67}" scale="75" colorId="22" showPageBreaks="1" fitToPage="1" printArea="1" hiddenColumns="1" showRuler="0" topLeftCell="B49">
      <selection activeCell="F54" sqref="F54"/>
      <pageMargins left="0.5" right="0.5" top="0.5" bottom="0.5" header="0.5" footer="0.5"/>
      <pageSetup scale="64" orientation="portrait" r:id="rId4"/>
      <headerFooter alignWithMargins="0"/>
    </customSheetView>
    <customSheetView guid="{EB776EFC-3589-4DB5-BEAF-1E83D9703F9E}" scale="75" colorId="22" fitToPage="1" hiddenColumns="1" showRuler="0" topLeftCell="A52">
      <selection activeCell="F56" sqref="F56"/>
      <pageMargins left="0.5" right="0.5" top="0.5" bottom="0.5" header="0.5" footer="0.5"/>
      <pageSetup scale="63" orientation="portrait" r:id="rId5"/>
      <headerFooter alignWithMargins="0"/>
    </customSheetView>
    <customSheetView guid="{AEA5979F-5357-4ED6-A6CA-1BB80F5C7A74}" scale="75" colorId="22" showPageBreaks="1" fitToPage="1" printArea="1" showRuler="0" topLeftCell="A49">
      <selection activeCell="C83" sqref="C83"/>
      <pageMargins left="0.5" right="0.5" top="0.5" bottom="0.5" header="0.5" footer="0.5"/>
      <pageSetup scale="61" orientation="portrait" r:id="rId6"/>
      <headerFooter alignWithMargins="0"/>
    </customSheetView>
    <customSheetView guid="{28F81D13-D146-4D67-8981-BA5D7A496326}" scale="75" colorId="22" showPageBreaks="1" fitToPage="1" printArea="1" showRuler="0" topLeftCell="C1">
      <selection activeCell="G77" sqref="A1:G77"/>
      <pageMargins left="0.5" right="0.5" top="0.5" bottom="0.5" header="0.5" footer="0.5"/>
      <pageSetup scale="61" orientation="portrait" r:id="rId7"/>
      <headerFooter alignWithMargins="0"/>
    </customSheetView>
    <customSheetView guid="{25C4E7E7-1006-4A2D-BC83-AEE4ADF8A914}" scale="70" colorId="22" showPageBreaks="1" fitToPage="1" printArea="1" hiddenRows="1" showRuler="0" topLeftCell="A31">
      <selection activeCell="A42" sqref="A42"/>
      <pageMargins left="0.75" right="0.5" top="0.75" bottom="0.5" header="0.5" footer="0.5"/>
      <pageSetup scale="49" orientation="portrait" r:id="rId8"/>
      <headerFooter alignWithMargins="0"/>
    </customSheetView>
  </customSheetViews>
  <phoneticPr fontId="0" type="noConversion"/>
  <pageMargins left="0.75" right="0.5" top="0.75" bottom="0.5" header="0.5" footer="0.5"/>
  <pageSetup scale="46" firstPageNumber="207" orientation="portrait" useFirstPageNumber="1"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96"/>
  <sheetViews>
    <sheetView zoomScale="85" zoomScaleNormal="85" zoomScaleSheetLayoutView="55" workbookViewId="0"/>
  </sheetViews>
  <sheetFormatPr defaultColWidth="8.88671875" defaultRowHeight="15"/>
  <cols>
    <col min="1" max="1" width="27.109375" style="44" bestFit="1" customWidth="1"/>
    <col min="2" max="2" width="15" style="44" customWidth="1"/>
    <col min="3" max="3" width="14.6640625" style="44" customWidth="1"/>
    <col min="4" max="4" width="17.5546875" style="44" customWidth="1"/>
    <col min="5" max="5" width="10.88671875" style="44" customWidth="1"/>
    <col min="6" max="6" width="15.88671875" style="44" customWidth="1"/>
    <col min="7" max="7" width="11.77734375" style="44" bestFit="1" customWidth="1"/>
    <col min="8" max="8" width="12.88671875" style="44" customWidth="1"/>
    <col min="9" max="16384" width="8.88671875" style="44"/>
  </cols>
  <sheetData>
    <row r="1" spans="1:6">
      <c r="A1" s="1" t="str">
        <f>'Devel. Bud'!A1</f>
        <v xml:space="preserve">Project Name: </v>
      </c>
      <c r="E1" s="410"/>
      <c r="F1" s="410"/>
    </row>
    <row r="2" spans="1:6">
      <c r="A2" s="1" t="str">
        <f>'Devel. Bud'!A2</f>
        <v>Site:</v>
      </c>
      <c r="E2" s="410" t="str">
        <f>'Sources and Use'!C2</f>
        <v>Units:</v>
      </c>
      <c r="F2" s="410">
        <f>'Units &amp; Income'!C23</f>
        <v>0</v>
      </c>
    </row>
    <row r="3" spans="1:6">
      <c r="A3" s="31"/>
      <c r="B3" s="95"/>
      <c r="C3" s="95"/>
      <c r="D3" s="95"/>
      <c r="E3" s="96"/>
    </row>
    <row r="4" spans="1:6">
      <c r="A4" s="31" t="s">
        <v>199</v>
      </c>
      <c r="B4" s="95"/>
      <c r="C4" s="95"/>
      <c r="D4" s="95"/>
      <c r="E4" s="96"/>
    </row>
    <row r="5" spans="1:6">
      <c r="A5" s="31"/>
      <c r="B5" s="95"/>
      <c r="C5" s="95"/>
      <c r="D5" s="95"/>
      <c r="E5" s="96"/>
    </row>
    <row r="6" spans="1:6">
      <c r="A6" s="31"/>
      <c r="B6" s="95"/>
      <c r="C6" s="95"/>
      <c r="D6" s="95"/>
      <c r="E6" s="96"/>
    </row>
    <row r="7" spans="1:6">
      <c r="A7" s="30" t="s">
        <v>133</v>
      </c>
      <c r="B7" s="110"/>
      <c r="C7" s="100" t="s">
        <v>132</v>
      </c>
    </row>
    <row r="8" spans="1:6">
      <c r="A8" s="100" t="s">
        <v>97</v>
      </c>
      <c r="B8" s="418" t="e">
        <f ca="1">'Devel. Bud'!D92</f>
        <v>#DIV/0!</v>
      </c>
      <c r="C8" s="103" t="e">
        <f ca="1">B8/B10</f>
        <v>#DIV/0!</v>
      </c>
    </row>
    <row r="9" spans="1:6">
      <c r="A9" s="100" t="s">
        <v>98</v>
      </c>
      <c r="B9" s="97" t="e">
        <f ca="1">B10-B8</f>
        <v>#DIV/0!</v>
      </c>
      <c r="C9" s="103" t="e">
        <f ca="1">B9/B10</f>
        <v>#DIV/0!</v>
      </c>
    </row>
    <row r="10" spans="1:6">
      <c r="A10" s="100" t="s">
        <v>96</v>
      </c>
      <c r="B10" s="260" t="e">
        <f ca="1">'Devel. Bud'!D80</f>
        <v>#DIV/0!</v>
      </c>
      <c r="C10" s="95"/>
    </row>
    <row r="11" spans="1:6">
      <c r="A11" s="111"/>
      <c r="B11" s="95"/>
      <c r="C11" s="95"/>
    </row>
    <row r="12" spans="1:6">
      <c r="A12" s="111"/>
      <c r="B12" s="95"/>
      <c r="C12" s="95"/>
    </row>
    <row r="13" spans="1:6">
      <c r="A13" s="115" t="s">
        <v>37</v>
      </c>
      <c r="B13" s="100" t="s">
        <v>134</v>
      </c>
      <c r="C13" s="100" t="s">
        <v>135</v>
      </c>
    </row>
    <row r="14" spans="1:6">
      <c r="A14" s="100" t="s">
        <v>136</v>
      </c>
      <c r="B14" s="114"/>
      <c r="C14" s="524">
        <f>B14/12</f>
        <v>0</v>
      </c>
      <c r="D14" s="95"/>
      <c r="E14" s="96"/>
    </row>
    <row r="15" spans="1:6">
      <c r="A15" s="100" t="s">
        <v>137</v>
      </c>
      <c r="B15" s="114"/>
      <c r="C15" s="524">
        <f>B15/12</f>
        <v>0</v>
      </c>
      <c r="D15" s="95"/>
      <c r="E15" s="96"/>
    </row>
    <row r="16" spans="1:6">
      <c r="A16" s="100" t="s">
        <v>138</v>
      </c>
      <c r="B16" s="44">
        <f>B14+B15</f>
        <v>0</v>
      </c>
      <c r="C16" s="524">
        <f>B16/12</f>
        <v>0</v>
      </c>
      <c r="D16" s="95"/>
      <c r="E16" s="96"/>
    </row>
    <row r="17" spans="1:6">
      <c r="A17" s="100"/>
      <c r="C17" s="95"/>
      <c r="D17" s="95"/>
      <c r="E17" s="96"/>
    </row>
    <row r="18" spans="1:6">
      <c r="A18" s="100"/>
      <c r="C18" s="95"/>
      <c r="D18" s="95"/>
      <c r="E18" s="96"/>
    </row>
    <row r="19" spans="1:6">
      <c r="A19" s="115" t="s">
        <v>364</v>
      </c>
      <c r="C19" s="95"/>
      <c r="D19" s="95"/>
      <c r="E19" s="521"/>
      <c r="F19" s="521"/>
    </row>
    <row r="20" spans="1:6">
      <c r="A20" s="116" t="s">
        <v>232</v>
      </c>
      <c r="B20" s="113"/>
      <c r="C20" s="98"/>
      <c r="D20" s="520"/>
      <c r="E20" s="96"/>
    </row>
    <row r="21" spans="1:6">
      <c r="A21" s="116" t="s">
        <v>233</v>
      </c>
      <c r="B21" s="113"/>
      <c r="C21" s="99"/>
      <c r="D21" s="100"/>
      <c r="E21" s="96"/>
    </row>
    <row r="22" spans="1:6">
      <c r="A22" s="116" t="s">
        <v>329</v>
      </c>
      <c r="B22" s="113"/>
      <c r="C22" s="355"/>
      <c r="D22" s="95"/>
      <c r="E22" s="96"/>
    </row>
    <row r="23" spans="1:6">
      <c r="A23" s="116" t="s">
        <v>330</v>
      </c>
      <c r="B23" s="113"/>
      <c r="C23" s="355"/>
      <c r="D23" s="95"/>
      <c r="E23" s="96"/>
    </row>
    <row r="24" spans="1:6">
      <c r="A24" s="116" t="s">
        <v>331</v>
      </c>
      <c r="B24" s="113"/>
      <c r="C24" s="355"/>
      <c r="D24" s="95"/>
      <c r="E24" s="96"/>
    </row>
    <row r="25" spans="1:6">
      <c r="A25" s="95"/>
      <c r="B25" s="96"/>
      <c r="C25" s="355"/>
      <c r="D25" s="95"/>
      <c r="E25" s="96"/>
    </row>
    <row r="26" spans="1:6">
      <c r="A26" s="159" t="s">
        <v>139</v>
      </c>
      <c r="B26" s="160"/>
      <c r="C26" s="161"/>
      <c r="D26" s="162"/>
      <c r="E26" s="160"/>
    </row>
    <row r="27" spans="1:6">
      <c r="A27" s="163" t="s">
        <v>365</v>
      </c>
      <c r="B27" s="164">
        <v>0</v>
      </c>
      <c r="C27" s="162"/>
      <c r="D27" s="162"/>
      <c r="E27" s="160"/>
    </row>
    <row r="28" spans="1:6">
      <c r="A28" s="165" t="s">
        <v>363</v>
      </c>
      <c r="B28" s="164">
        <v>0</v>
      </c>
      <c r="C28" s="162"/>
      <c r="D28" s="162"/>
      <c r="E28" s="160"/>
    </row>
    <row r="29" spans="1:6">
      <c r="A29" s="163" t="s">
        <v>139</v>
      </c>
      <c r="B29" s="166">
        <f>SUM(B27:B28)</f>
        <v>0</v>
      </c>
      <c r="C29" s="162"/>
      <c r="D29" s="162"/>
      <c r="E29" s="160"/>
    </row>
    <row r="30" spans="1:6">
      <c r="A30" s="163"/>
      <c r="B30" s="161"/>
      <c r="C30" s="162"/>
      <c r="D30" s="162"/>
      <c r="E30" s="160"/>
    </row>
    <row r="31" spans="1:6">
      <c r="A31" s="100"/>
      <c r="C31" s="95"/>
      <c r="D31" s="95"/>
      <c r="E31" s="96"/>
    </row>
    <row r="32" spans="1:6">
      <c r="A32" s="115" t="s">
        <v>148</v>
      </c>
      <c r="C32" s="95"/>
      <c r="D32" s="95"/>
      <c r="E32" s="96"/>
    </row>
    <row r="33" spans="1:6">
      <c r="A33" s="115"/>
      <c r="C33" s="95"/>
      <c r="D33" s="95"/>
      <c r="E33" s="96"/>
    </row>
    <row r="34" spans="1:6">
      <c r="A34" s="111" t="s">
        <v>142</v>
      </c>
      <c r="B34" s="117" t="s">
        <v>140</v>
      </c>
      <c r="C34" s="117" t="s">
        <v>62</v>
      </c>
      <c r="D34" s="118" t="s">
        <v>143</v>
      </c>
      <c r="E34" s="118" t="s">
        <v>141</v>
      </c>
      <c r="F34" s="120" t="s">
        <v>144</v>
      </c>
    </row>
    <row r="35" spans="1:6">
      <c r="A35" s="100" t="s">
        <v>332</v>
      </c>
      <c r="B35" s="45" t="e">
        <f ca="1">B9</f>
        <v>#DIV/0!</v>
      </c>
      <c r="C35" s="119">
        <v>0.5</v>
      </c>
      <c r="D35" s="548">
        <f>C14</f>
        <v>0</v>
      </c>
      <c r="E35" s="98">
        <f>B21</f>
        <v>0</v>
      </c>
      <c r="F35" s="72" t="e">
        <f t="shared" ref="F35:F41" ca="1" si="0">B35*C35*D35*E35</f>
        <v>#DIV/0!</v>
      </c>
    </row>
    <row r="36" spans="1:6">
      <c r="A36" s="100"/>
      <c r="B36" s="45" t="e">
        <f ca="1">B9</f>
        <v>#DIV/0!</v>
      </c>
      <c r="C36" s="119">
        <v>1</v>
      </c>
      <c r="D36" s="548">
        <f>C15</f>
        <v>0</v>
      </c>
      <c r="E36" s="98">
        <f>B21</f>
        <v>0</v>
      </c>
      <c r="F36" s="72" t="e">
        <f t="shared" ca="1" si="0"/>
        <v>#DIV/0!</v>
      </c>
    </row>
    <row r="37" spans="1:6">
      <c r="A37" s="100" t="s">
        <v>333</v>
      </c>
      <c r="B37" s="45" t="e">
        <f ca="1">B8</f>
        <v>#DIV/0!</v>
      </c>
      <c r="C37" s="119">
        <v>0.5</v>
      </c>
      <c r="D37" s="548">
        <f>C14</f>
        <v>0</v>
      </c>
      <c r="E37" s="98">
        <f>B20</f>
        <v>0</v>
      </c>
      <c r="F37" s="72" t="e">
        <f t="shared" ca="1" si="0"/>
        <v>#DIV/0!</v>
      </c>
    </row>
    <row r="38" spans="1:6">
      <c r="A38" s="100"/>
      <c r="B38" s="45" t="e">
        <f ca="1">B8</f>
        <v>#DIV/0!</v>
      </c>
      <c r="C38" s="119">
        <v>1</v>
      </c>
      <c r="D38" s="548">
        <f>C15</f>
        <v>0</v>
      </c>
      <c r="E38" s="98">
        <f>B20</f>
        <v>0</v>
      </c>
      <c r="F38" s="72" t="e">
        <f t="shared" ca="1" si="0"/>
        <v>#DIV/0!</v>
      </c>
    </row>
    <row r="39" spans="1:6">
      <c r="A39" s="100" t="str">
        <f>A22</f>
        <v>2nd Construction</v>
      </c>
      <c r="B39" s="45">
        <f>'Devel. Bud'!D81</f>
        <v>0</v>
      </c>
      <c r="C39" s="119">
        <v>1</v>
      </c>
      <c r="D39" s="571">
        <f>C16</f>
        <v>0</v>
      </c>
      <c r="E39" s="98">
        <f>B22</f>
        <v>0</v>
      </c>
      <c r="F39" s="72">
        <f t="shared" si="0"/>
        <v>0</v>
      </c>
    </row>
    <row r="40" spans="1:6">
      <c r="A40" s="100" t="str">
        <f>A23</f>
        <v>3rd Construction</v>
      </c>
      <c r="B40" s="45">
        <f>'Devel. Bud'!D82</f>
        <v>0</v>
      </c>
      <c r="C40" s="119">
        <v>1</v>
      </c>
      <c r="D40" s="571">
        <f>C16</f>
        <v>0</v>
      </c>
      <c r="E40" s="98">
        <f>B23</f>
        <v>0</v>
      </c>
      <c r="F40" s="72">
        <f t="shared" si="0"/>
        <v>0</v>
      </c>
    </row>
    <row r="41" spans="1:6">
      <c r="A41" s="100" t="str">
        <f>A24</f>
        <v>4th Construction</v>
      </c>
      <c r="B41" s="45">
        <f ca="1">'Devel. Bud'!D83</f>
        <v>0</v>
      </c>
      <c r="C41" s="119">
        <v>1</v>
      </c>
      <c r="D41" s="571">
        <f>C16</f>
        <v>0</v>
      </c>
      <c r="E41" s="98">
        <f>B24</f>
        <v>0</v>
      </c>
      <c r="F41" s="72">
        <f t="shared" ca="1" si="0"/>
        <v>0</v>
      </c>
    </row>
    <row r="42" spans="1:6">
      <c r="C42" s="95"/>
      <c r="D42" s="95"/>
      <c r="E42" s="111" t="s">
        <v>145</v>
      </c>
      <c r="F42" s="121" t="e">
        <f ca="1">SUM(F35:F41)</f>
        <v>#DIV/0!</v>
      </c>
    </row>
    <row r="43" spans="1:6">
      <c r="A43" s="115"/>
      <c r="C43" s="95"/>
      <c r="D43" s="95"/>
      <c r="E43" s="96"/>
      <c r="F43" s="72"/>
    </row>
    <row r="44" spans="1:6">
      <c r="A44" s="115"/>
      <c r="C44" s="95"/>
      <c r="D44" s="95"/>
      <c r="E44" s="96"/>
    </row>
    <row r="45" spans="1:6">
      <c r="A45" s="111" t="s">
        <v>139</v>
      </c>
      <c r="B45" s="117" t="s">
        <v>140</v>
      </c>
      <c r="C45" s="117" t="s">
        <v>62</v>
      </c>
      <c r="D45" s="118" t="s">
        <v>143</v>
      </c>
      <c r="E45" s="118" t="s">
        <v>141</v>
      </c>
      <c r="F45" s="120" t="s">
        <v>144</v>
      </c>
    </row>
    <row r="46" spans="1:6">
      <c r="A46" s="100" t="s">
        <v>146</v>
      </c>
      <c r="B46" s="45" t="e">
        <f ca="1">B10</f>
        <v>#DIV/0!</v>
      </c>
      <c r="C46" s="119">
        <v>0.5</v>
      </c>
      <c r="D46" s="548">
        <f>C14</f>
        <v>0</v>
      </c>
      <c r="E46" s="98">
        <f>B29</f>
        <v>0</v>
      </c>
      <c r="F46" s="72" t="e">
        <f ca="1">B46*C46*D46*E46</f>
        <v>#DIV/0!</v>
      </c>
    </row>
    <row r="47" spans="1:6">
      <c r="A47" s="100"/>
      <c r="B47" s="45" t="e">
        <f ca="1">B10</f>
        <v>#DIV/0!</v>
      </c>
      <c r="C47" s="119">
        <v>1</v>
      </c>
      <c r="D47" s="548">
        <f>C15</f>
        <v>0</v>
      </c>
      <c r="E47" s="98">
        <f>B29</f>
        <v>0</v>
      </c>
      <c r="F47" s="72" t="e">
        <f ca="1">B47*C47*D47*E47</f>
        <v>#DIV/0!</v>
      </c>
    </row>
    <row r="48" spans="1:6">
      <c r="A48" s="100" t="s">
        <v>48</v>
      </c>
      <c r="B48" s="45">
        <f>'Devel. Bud'!D81</f>
        <v>0</v>
      </c>
      <c r="C48" s="119">
        <v>1</v>
      </c>
      <c r="D48" s="548">
        <f>C16</f>
        <v>0</v>
      </c>
      <c r="E48" s="98">
        <f>B22</f>
        <v>0</v>
      </c>
      <c r="F48" s="72">
        <f>B48*C48*D48*E48</f>
        <v>0</v>
      </c>
    </row>
    <row r="49" spans="1:8">
      <c r="A49" s="100"/>
      <c r="B49" s="45">
        <f>'Devel. Bud'!D82</f>
        <v>0</v>
      </c>
      <c r="C49" s="119">
        <v>1</v>
      </c>
      <c r="D49" s="548">
        <f>C16</f>
        <v>0</v>
      </c>
      <c r="E49" s="98">
        <f>B23</f>
        <v>0</v>
      </c>
      <c r="F49" s="72">
        <f>B49*C49*D49*E49</f>
        <v>0</v>
      </c>
    </row>
    <row r="50" spans="1:8">
      <c r="C50" s="95"/>
      <c r="D50" s="95"/>
      <c r="E50" s="111" t="s">
        <v>147</v>
      </c>
      <c r="F50" s="121" t="e">
        <f ca="1">SUM(F46:F49)</f>
        <v>#DIV/0!</v>
      </c>
    </row>
    <row r="51" spans="1:8">
      <c r="A51" s="95"/>
      <c r="B51" s="95"/>
      <c r="C51" s="95"/>
      <c r="D51" s="95"/>
      <c r="E51" s="96"/>
    </row>
    <row r="52" spans="1:8">
      <c r="A52" s="76"/>
      <c r="B52" s="76"/>
      <c r="C52" s="76"/>
      <c r="D52" s="76"/>
      <c r="E52" s="109"/>
      <c r="F52" s="76"/>
      <c r="G52" s="95"/>
      <c r="H52" s="95"/>
    </row>
    <row r="53" spans="1:8">
      <c r="A53" s="30" t="s">
        <v>128</v>
      </c>
    </row>
    <row r="54" spans="1:8" s="30" customFormat="1">
      <c r="A54" s="46" t="s">
        <v>152</v>
      </c>
      <c r="B54" s="42"/>
    </row>
    <row r="55" spans="1:8" s="30" customFormat="1">
      <c r="B55" s="42"/>
    </row>
    <row r="56" spans="1:8" s="30" customFormat="1">
      <c r="A56" s="116" t="s">
        <v>151</v>
      </c>
      <c r="B56" s="122"/>
    </row>
    <row r="57" spans="1:8" s="30" customFormat="1">
      <c r="B57" s="42"/>
    </row>
    <row r="58" spans="1:8" s="30" customFormat="1">
      <c r="B58" s="42"/>
    </row>
    <row r="59" spans="1:8" ht="17.25" customHeight="1">
      <c r="B59" s="123" t="s">
        <v>204</v>
      </c>
      <c r="C59" s="123" t="s">
        <v>203</v>
      </c>
    </row>
    <row r="60" spans="1:8">
      <c r="A60" s="110" t="s">
        <v>149</v>
      </c>
      <c r="B60" s="230">
        <f>B21</f>
        <v>0</v>
      </c>
      <c r="C60" s="78">
        <f>B20</f>
        <v>0</v>
      </c>
    </row>
    <row r="61" spans="1:8">
      <c r="A61" s="100" t="s">
        <v>98</v>
      </c>
      <c r="B61" s="45" t="e">
        <f ca="1">B9</f>
        <v>#DIV/0!</v>
      </c>
      <c r="C61" s="182" t="e">
        <f ca="1">B8</f>
        <v>#DIV/0!</v>
      </c>
    </row>
    <row r="62" spans="1:8">
      <c r="A62" s="110" t="s">
        <v>62</v>
      </c>
      <c r="B62" s="77">
        <v>0.5</v>
      </c>
      <c r="C62" s="77">
        <v>0.5</v>
      </c>
    </row>
    <row r="63" spans="1:8">
      <c r="A63" s="110" t="s">
        <v>99</v>
      </c>
      <c r="B63" s="104">
        <f>B60-B56</f>
        <v>0</v>
      </c>
      <c r="C63" s="104">
        <f>C60-B56</f>
        <v>0</v>
      </c>
    </row>
    <row r="64" spans="1:8">
      <c r="A64" s="110" t="s">
        <v>150</v>
      </c>
      <c r="B64" s="648">
        <f>C14</f>
        <v>0</v>
      </c>
      <c r="C64" s="648">
        <f>C14</f>
        <v>0</v>
      </c>
    </row>
    <row r="65" spans="1:4">
      <c r="A65" s="110"/>
      <c r="B65" s="72" t="e">
        <f ca="1">B61*B62*B63*B64</f>
        <v>#DIV/0!</v>
      </c>
      <c r="C65" s="72" t="e">
        <f ca="1">C61*C62*C63*C64</f>
        <v>#DIV/0!</v>
      </c>
      <c r="D65" s="72"/>
    </row>
    <row r="66" spans="1:4">
      <c r="A66" s="110"/>
    </row>
    <row r="67" spans="1:4">
      <c r="A67" s="111" t="s">
        <v>47</v>
      </c>
      <c r="B67" s="261" t="e">
        <f ca="1">B65+C65</f>
        <v>#DIV/0!</v>
      </c>
    </row>
    <row r="68" spans="1:4">
      <c r="A68" s="31"/>
      <c r="B68" s="95"/>
    </row>
    <row r="69" spans="1:4">
      <c r="A69" s="31"/>
      <c r="B69" s="95"/>
    </row>
    <row r="70" spans="1:4">
      <c r="A70" s="30" t="s">
        <v>200</v>
      </c>
      <c r="B70" s="13"/>
      <c r="D70" s="526"/>
    </row>
    <row r="71" spans="1:4">
      <c r="A71" s="95"/>
      <c r="B71" s="95"/>
    </row>
    <row r="72" spans="1:4">
      <c r="A72" s="95" t="s">
        <v>133</v>
      </c>
      <c r="B72" s="95"/>
      <c r="C72" s="563" t="e">
        <f ca="1">B10</f>
        <v>#DIV/0!</v>
      </c>
    </row>
    <row r="73" spans="1:4">
      <c r="A73" s="95" t="s">
        <v>201</v>
      </c>
      <c r="B73" s="114"/>
      <c r="C73" s="208" t="e">
        <f ca="1">C72*B20*(B73/360)</f>
        <v>#DIV/0!</v>
      </c>
    </row>
    <row r="74" spans="1:4">
      <c r="A74" s="217" t="s">
        <v>202</v>
      </c>
      <c r="B74" s="97"/>
      <c r="C74" s="259" t="e">
        <f ca="1">C72+C73</f>
        <v>#DIV/0!</v>
      </c>
    </row>
    <row r="75" spans="1:4">
      <c r="A75" s="95"/>
      <c r="B75" s="101"/>
    </row>
    <row r="76" spans="1:4">
      <c r="A76" s="95"/>
      <c r="B76" s="102"/>
    </row>
    <row r="77" spans="1:4">
      <c r="A77" s="95"/>
      <c r="B77" s="95"/>
    </row>
    <row r="78" spans="1:4">
      <c r="A78" s="95"/>
      <c r="B78" s="95"/>
    </row>
    <row r="79" spans="1:4">
      <c r="A79" s="95"/>
      <c r="B79" s="105"/>
    </row>
    <row r="80" spans="1:4">
      <c r="A80" s="95"/>
      <c r="B80" s="105"/>
    </row>
    <row r="81" spans="1:2">
      <c r="A81" s="95"/>
      <c r="B81" s="105"/>
    </row>
    <row r="86" spans="1:2">
      <c r="A86" s="95"/>
      <c r="B86" s="45"/>
    </row>
    <row r="87" spans="1:2">
      <c r="A87" s="95"/>
      <c r="B87" s="77"/>
    </row>
    <row r="88" spans="1:2">
      <c r="A88" s="95"/>
      <c r="B88" s="106"/>
    </row>
    <row r="89" spans="1:2">
      <c r="A89" s="95"/>
    </row>
    <row r="91" spans="1:2">
      <c r="B91" s="107"/>
    </row>
    <row r="93" spans="1:2">
      <c r="B93" s="108"/>
    </row>
    <row r="96" spans="1:2">
      <c r="A96" s="30"/>
      <c r="B96" s="33"/>
    </row>
  </sheetData>
  <dataConsolidate/>
  <customSheetViews>
    <customSheetView guid="{560D4AFA-61E5-46C3-B0CD-D0EB3053A033}" scale="75" showPageBreaks="1" fitToPage="1" printArea="1" hiddenRows="1" showRuler="0">
      <selection activeCell="C18" sqref="C18"/>
      <pageMargins left="0.75" right="0.5" top="0.75" bottom="0.5" header="0.5" footer="0.5"/>
      <pageSetup scale="77" orientation="portrait" r:id="rId1"/>
      <headerFooter alignWithMargins="0"/>
    </customSheetView>
    <customSheetView guid="{1ECE83C7-A3CE-4F97-BFD3-498FF783C0D9}" scale="75" showPageBreaks="1" fitToPage="1" printArea="1" showRuler="0" topLeftCell="A28">
      <selection activeCell="H29" sqref="H29"/>
      <pageMargins left="0.75" right="0.5" top="0.75" bottom="0.5" header="0.5" footer="0.5"/>
      <pageSetup scale="66" orientation="portrait" r:id="rId2"/>
      <headerFooter alignWithMargins="0"/>
    </customSheetView>
    <customSheetView guid="{6EF643BE-69F3-424E-8A44-3890161370D4}" scale="60" showPageBreaks="1" fitToPage="1" printArea="1" hiddenRows="1" view="pageBreakPreview" showRuler="0" topLeftCell="A13">
      <selection activeCell="E40" sqref="E40"/>
      <pageMargins left="0.75" right="0.75" top="1" bottom="1" header="0.5" footer="0.5"/>
      <pageSetup scale="60" orientation="portrait" r:id="rId3"/>
      <headerFooter alignWithMargins="0"/>
    </customSheetView>
    <customSheetView guid="{FBB4BF8E-8A9F-4E98-A6F9-5F9BF4C55C67}" scale="75" showPageBreaks="1" fitToPage="1" hiddenRows="1" hiddenColumns="1" showRuler="0" topLeftCell="A14">
      <selection activeCell="B42" sqref="B42"/>
      <pageMargins left="0.75" right="0.75" top="1" bottom="1" header="0.5" footer="0.5"/>
      <pageSetup scale="70" orientation="portrait" r:id="rId4"/>
      <headerFooter alignWithMargins="0"/>
    </customSheetView>
    <customSheetView guid="{EB776EFC-3589-4DB5-BEAF-1E83D9703F9E}" scale="75" fitToPage="1" hiddenRows="1" hiddenColumns="1" showRuler="0" topLeftCell="A17">
      <selection activeCell="J41" sqref="J41"/>
      <pageMargins left="0.75" right="0.75" top="1" bottom="1" header="0.5" footer="0.5"/>
      <pageSetup scale="93" orientation="portrait" r:id="rId5"/>
      <headerFooter alignWithMargins="0"/>
    </customSheetView>
    <customSheetView guid="{AEA5979F-5357-4ED6-A6CA-1BB80F5C7A74}" scale="60" showPageBreaks="1" fitToPage="1" printArea="1" hiddenRows="1" view="pageBreakPreview" showRuler="0">
      <selection activeCell="B25" sqref="B25"/>
      <pageMargins left="0.75" right="0.75" top="1" bottom="1" header="0.5" footer="0.5"/>
      <pageSetup scale="62" orientation="portrait" r:id="rId6"/>
      <headerFooter alignWithMargins="0"/>
    </customSheetView>
    <customSheetView guid="{28F81D13-D146-4D67-8981-BA5D7A496326}" scale="60" showPageBreaks="1" fitToPage="1" printArea="1" hiddenRows="1" view="pageBreakPreview" showRuler="0" topLeftCell="A4">
      <selection activeCell="E41" sqref="E41"/>
      <pageMargins left="0.75" right="0.75" top="1" bottom="1" header="0.5" footer="0.5"/>
      <pageSetup scale="60" orientation="portrait" r:id="rId7"/>
      <headerFooter alignWithMargins="0"/>
    </customSheetView>
    <customSheetView guid="{25C4E7E7-1006-4A2D-BC83-AEE4ADF8A914}" scale="75" showPageBreaks="1" fitToPage="1" printArea="1" hiddenRows="1" showRuler="0" topLeftCell="A7">
      <selection activeCell="C18" sqref="C18"/>
      <pageMargins left="0.75" right="0.5" top="0.75" bottom="0.5" header="0.5" footer="0.5"/>
      <pageSetup scale="77" orientation="portrait" r:id="rId8"/>
      <headerFooter alignWithMargins="0"/>
    </customSheetView>
  </customSheetViews>
  <phoneticPr fontId="0" type="noConversion"/>
  <pageMargins left="0.75" right="0.5" top="0.75" bottom="0.5" header="0.5" footer="0.5"/>
  <pageSetup scale="61" firstPageNumber="208" orientation="portrait" useFirstPageNumber="1" r:id="rId9"/>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pageSetUpPr fitToPage="1"/>
  </sheetPr>
  <dimension ref="B1:AC119"/>
  <sheetViews>
    <sheetView defaultGridColor="0" colorId="22" zoomScale="85" zoomScaleNormal="85" zoomScaleSheetLayoutView="100" zoomScalePageLayoutView="25" workbookViewId="0"/>
  </sheetViews>
  <sheetFormatPr defaultColWidth="9.77734375" defaultRowHeight="15"/>
  <cols>
    <col min="1" max="1" width="4.5546875" style="95" customWidth="1"/>
    <col min="2" max="2" width="23.21875" style="95" customWidth="1"/>
    <col min="3" max="3" width="13" style="95" customWidth="1"/>
    <col min="4" max="4" width="34.5546875" style="95" bestFit="1" customWidth="1"/>
    <col min="5" max="5" width="13.109375" style="95" customWidth="1"/>
    <col min="6" max="7" width="11.77734375" style="95" customWidth="1"/>
    <col min="8" max="10" width="14.44140625" style="95" customWidth="1"/>
    <col min="11" max="11" width="15.6640625" style="95" customWidth="1"/>
    <col min="12" max="12" width="8.109375" style="95" customWidth="1"/>
    <col min="13" max="14" width="6.77734375" style="95" customWidth="1"/>
    <col min="15" max="21" width="7" style="95" bestFit="1" customWidth="1"/>
    <col min="22" max="22" width="5.44140625" style="95" customWidth="1"/>
    <col min="23" max="23" width="7" style="95" bestFit="1" customWidth="1"/>
    <col min="24" max="16384" width="9.77734375" style="95"/>
  </cols>
  <sheetData>
    <row r="1" spans="2:16">
      <c r="B1" s="205" t="str">
        <f>'Sources and Use'!A1</f>
        <v xml:space="preserve">Project Name: </v>
      </c>
      <c r="C1" s="167"/>
      <c r="D1" s="217"/>
      <c r="E1" s="217"/>
      <c r="F1" s="217"/>
      <c r="I1" s="205"/>
      <c r="J1" s="205"/>
      <c r="K1" s="217"/>
      <c r="L1" s="217"/>
      <c r="M1" s="217"/>
      <c r="N1" s="217"/>
      <c r="O1" s="217"/>
      <c r="P1" s="217"/>
    </row>
    <row r="2" spans="2:16">
      <c r="B2" s="205" t="str">
        <f>'Sources and Use'!A2</f>
        <v>Site:</v>
      </c>
      <c r="C2" s="167"/>
      <c r="D2" s="217"/>
      <c r="E2" s="217"/>
      <c r="F2" s="217"/>
      <c r="I2" s="205" t="str">
        <f>'Sources and Use'!C2</f>
        <v>Units:</v>
      </c>
      <c r="J2" s="530">
        <f>C23</f>
        <v>0</v>
      </c>
      <c r="K2" s="217"/>
      <c r="L2" s="217"/>
      <c r="M2" s="217"/>
      <c r="N2" s="217"/>
      <c r="O2" s="217"/>
      <c r="P2" s="217"/>
    </row>
    <row r="3" spans="2:16" ht="15.4" thickBot="1">
      <c r="B3" s="266"/>
      <c r="C3" s="266"/>
      <c r="D3" s="266"/>
      <c r="E3" s="266"/>
      <c r="F3" s="266"/>
      <c r="G3" s="266"/>
      <c r="H3" s="266"/>
      <c r="I3" s="266"/>
      <c r="J3" s="266"/>
      <c r="K3" s="217"/>
      <c r="L3" s="217"/>
      <c r="M3" s="217"/>
      <c r="N3" s="217"/>
      <c r="O3" s="217"/>
      <c r="P3" s="217"/>
    </row>
    <row r="4" spans="2:16" ht="18.75" customHeight="1" thickTop="1">
      <c r="B4" s="278" t="s">
        <v>127</v>
      </c>
      <c r="C4" s="199" t="s">
        <v>401</v>
      </c>
      <c r="D4" s="217"/>
      <c r="E4" s="575" t="s">
        <v>398</v>
      </c>
      <c r="F4" s="575" t="s">
        <v>399</v>
      </c>
      <c r="G4" s="576"/>
      <c r="H4" s="167"/>
      <c r="I4" s="217"/>
      <c r="J4" s="276"/>
      <c r="K4" s="217"/>
      <c r="L4" s="217"/>
      <c r="M4" s="217"/>
      <c r="N4" s="217"/>
      <c r="O4" s="217"/>
      <c r="P4" s="217"/>
    </row>
    <row r="5" spans="2:16">
      <c r="B5" s="282" t="e">
        <f>C5/$C$10</f>
        <v>#DIV/0!</v>
      </c>
      <c r="C5" s="419"/>
      <c r="D5" s="219" t="s">
        <v>394</v>
      </c>
      <c r="E5" s="646" t="e">
        <f>F5/C5</f>
        <v>#DIV/0!</v>
      </c>
      <c r="F5" s="645">
        <f>F23</f>
        <v>0</v>
      </c>
      <c r="G5" s="577"/>
      <c r="H5" s="167"/>
      <c r="I5" s="217"/>
      <c r="J5" s="272"/>
      <c r="K5" s="217"/>
      <c r="L5" s="217"/>
      <c r="M5" s="217"/>
      <c r="N5" s="217"/>
      <c r="O5" s="217"/>
      <c r="P5" s="217"/>
    </row>
    <row r="6" spans="2:16">
      <c r="B6" s="282" t="e">
        <f>C6/$C$10</f>
        <v>#DIV/0!</v>
      </c>
      <c r="C6" s="419"/>
      <c r="D6" s="683" t="s">
        <v>507</v>
      </c>
      <c r="E6" s="647">
        <v>1</v>
      </c>
      <c r="F6" s="645">
        <f>E6*C6</f>
        <v>0</v>
      </c>
      <c r="G6" s="577"/>
      <c r="H6" s="167"/>
      <c r="I6" s="217"/>
      <c r="J6" s="272"/>
      <c r="K6" s="217"/>
      <c r="L6" s="217"/>
      <c r="M6" s="217"/>
      <c r="N6" s="217"/>
      <c r="O6" s="217"/>
      <c r="P6" s="217"/>
    </row>
    <row r="7" spans="2:16">
      <c r="B7" s="282" t="e">
        <f>C7/$C$10</f>
        <v>#DIV/0!</v>
      </c>
      <c r="C7" s="419"/>
      <c r="D7" s="219" t="s">
        <v>395</v>
      </c>
      <c r="E7" s="647">
        <v>1</v>
      </c>
      <c r="F7" s="645">
        <f>E7*C7</f>
        <v>0</v>
      </c>
      <c r="G7" s="577"/>
      <c r="H7" s="167"/>
      <c r="I7" s="217"/>
      <c r="J7" s="272"/>
      <c r="K7" s="217"/>
      <c r="L7" s="217"/>
      <c r="M7" s="217"/>
      <c r="N7" s="217"/>
      <c r="O7" s="217"/>
      <c r="P7" s="217"/>
    </row>
    <row r="8" spans="2:16">
      <c r="B8" s="282" t="e">
        <f>C8/$C$10</f>
        <v>#DIV/0!</v>
      </c>
      <c r="C8" s="419"/>
      <c r="D8" s="219" t="s">
        <v>396</v>
      </c>
      <c r="E8" s="647">
        <v>1</v>
      </c>
      <c r="F8" s="645">
        <f>E8*C8</f>
        <v>0</v>
      </c>
      <c r="G8" s="577"/>
      <c r="H8" s="167"/>
      <c r="I8" s="217"/>
      <c r="J8" s="272"/>
      <c r="K8" s="217"/>
      <c r="L8" s="217"/>
      <c r="M8" s="217"/>
      <c r="N8" s="217"/>
      <c r="O8" s="217"/>
      <c r="P8" s="217"/>
    </row>
    <row r="9" spans="2:16">
      <c r="B9" s="282" t="e">
        <f>C9/$C$10</f>
        <v>#DIV/0!</v>
      </c>
      <c r="C9" s="419"/>
      <c r="D9" s="219" t="s">
        <v>397</v>
      </c>
      <c r="E9" s="647">
        <v>1</v>
      </c>
      <c r="F9" s="645">
        <f>E9*C9</f>
        <v>0</v>
      </c>
      <c r="G9" s="577"/>
      <c r="H9" s="167"/>
      <c r="I9" s="217"/>
      <c r="J9" s="272"/>
      <c r="K9" s="217"/>
      <c r="L9" s="217"/>
      <c r="M9" s="217"/>
      <c r="N9" s="217"/>
      <c r="O9" s="217"/>
      <c r="P9" s="217"/>
    </row>
    <row r="10" spans="2:16">
      <c r="B10" s="283"/>
      <c r="C10" s="220">
        <f>SUM(C5:C9)</f>
        <v>0</v>
      </c>
      <c r="D10" s="222" t="s">
        <v>402</v>
      </c>
      <c r="E10" s="578"/>
      <c r="F10" s="578">
        <f>SUM(F5:F9)</f>
        <v>0</v>
      </c>
      <c r="G10" s="579" t="s">
        <v>400</v>
      </c>
      <c r="H10" s="167"/>
      <c r="I10" s="217"/>
      <c r="J10" s="272"/>
      <c r="K10" s="217"/>
      <c r="L10" s="217"/>
      <c r="M10" s="217"/>
      <c r="N10" s="217"/>
      <c r="O10" s="217"/>
      <c r="P10" s="217"/>
    </row>
    <row r="11" spans="2:16">
      <c r="B11" s="275"/>
      <c r="C11" s="199"/>
      <c r="E11" s="220"/>
      <c r="F11" s="369"/>
      <c r="G11" s="222"/>
      <c r="H11" s="167"/>
      <c r="I11" s="217"/>
      <c r="J11" s="272"/>
      <c r="K11" s="217"/>
      <c r="L11" s="217"/>
      <c r="M11" s="217"/>
      <c r="N11" s="217"/>
      <c r="O11" s="217"/>
      <c r="P11" s="217"/>
    </row>
    <row r="12" spans="2:16">
      <c r="B12" s="284"/>
      <c r="C12" s="285"/>
      <c r="D12" s="286"/>
      <c r="E12" s="287"/>
      <c r="F12" s="287"/>
      <c r="G12" s="370"/>
      <c r="H12" s="371"/>
      <c r="I12" s="277"/>
      <c r="J12" s="273"/>
      <c r="K12" s="217"/>
      <c r="L12" s="217"/>
      <c r="M12" s="217"/>
      <c r="N12" s="217"/>
      <c r="O12" s="217"/>
      <c r="P12" s="217"/>
    </row>
    <row r="13" spans="2:16" ht="15.4" thickBot="1">
      <c r="B13" s="267"/>
      <c r="C13" s="268"/>
      <c r="D13" s="269"/>
      <c r="E13" s="270"/>
      <c r="F13" s="271"/>
      <c r="G13" s="240"/>
      <c r="H13" s="240"/>
      <c r="I13" s="266"/>
      <c r="J13" s="266"/>
      <c r="K13" s="217"/>
      <c r="L13" s="217"/>
      <c r="M13" s="217"/>
      <c r="N13" s="217"/>
      <c r="O13" s="217"/>
      <c r="P13" s="217"/>
    </row>
    <row r="14" spans="2:16" ht="15.4" thickTop="1">
      <c r="B14" s="278" t="s">
        <v>119</v>
      </c>
      <c r="C14" s="199"/>
      <c r="D14" s="221"/>
      <c r="E14" s="220"/>
      <c r="F14" s="367"/>
      <c r="G14" s="217"/>
      <c r="H14" s="167"/>
      <c r="I14" s="217"/>
      <c r="J14" s="276"/>
      <c r="K14" s="217"/>
      <c r="L14" s="217"/>
      <c r="M14" s="217"/>
      <c r="N14" s="217"/>
      <c r="O14" s="217"/>
      <c r="P14" s="217"/>
    </row>
    <row r="15" spans="2:16" ht="15" customHeight="1">
      <c r="B15" s="279"/>
      <c r="C15" s="199"/>
      <c r="D15" s="199"/>
      <c r="E15" s="199"/>
      <c r="F15" s="220" t="s">
        <v>185</v>
      </c>
      <c r="G15" s="262"/>
      <c r="H15" s="167"/>
      <c r="I15" s="217"/>
      <c r="J15" s="272"/>
      <c r="K15" s="217"/>
      <c r="L15" s="217"/>
      <c r="M15" s="217"/>
      <c r="N15" s="217"/>
      <c r="O15" s="217"/>
      <c r="P15" s="217"/>
    </row>
    <row r="16" spans="2:16">
      <c r="B16" s="168"/>
      <c r="C16" s="198" t="s">
        <v>0</v>
      </c>
      <c r="D16" s="198" t="s">
        <v>58</v>
      </c>
      <c r="E16" s="198" t="s">
        <v>120</v>
      </c>
      <c r="F16" s="220" t="s">
        <v>186</v>
      </c>
      <c r="G16" s="262"/>
      <c r="H16" s="199"/>
      <c r="I16" s="199"/>
      <c r="J16" s="272"/>
      <c r="K16" s="217"/>
      <c r="L16" s="217"/>
      <c r="M16" s="217"/>
      <c r="N16" s="217"/>
      <c r="O16" s="217"/>
      <c r="P16" s="217"/>
    </row>
    <row r="17" spans="2:16">
      <c r="B17" s="274" t="s">
        <v>57</v>
      </c>
      <c r="C17" s="640">
        <f>SUM(I55,I63,I71,I79,I87,I95,I103,I110)</f>
        <v>0</v>
      </c>
      <c r="D17" s="200">
        <v>2</v>
      </c>
      <c r="E17" s="643">
        <f>D17*C17</f>
        <v>0</v>
      </c>
      <c r="F17" s="419"/>
      <c r="G17" s="262"/>
      <c r="H17" s="199"/>
      <c r="J17" s="272"/>
      <c r="K17" s="217"/>
      <c r="L17" s="217"/>
      <c r="M17" s="217"/>
      <c r="N17" s="217"/>
      <c r="O17" s="217"/>
      <c r="P17" s="217"/>
    </row>
    <row r="18" spans="2:16">
      <c r="B18" s="274" t="s">
        <v>373</v>
      </c>
      <c r="C18" s="640">
        <f t="shared" ref="C18:C20" si="0">SUM(I56,I64,I72,I80,I88,I96,I104,I111)</f>
        <v>0</v>
      </c>
      <c r="D18" s="200">
        <v>3</v>
      </c>
      <c r="E18" s="643">
        <f>C18*D18</f>
        <v>0</v>
      </c>
      <c r="F18" s="419"/>
      <c r="G18" s="262"/>
      <c r="H18" s="167"/>
      <c r="J18" s="272"/>
      <c r="K18" s="217"/>
      <c r="L18" s="217"/>
      <c r="M18" s="217"/>
      <c r="N18" s="217"/>
      <c r="O18" s="217"/>
      <c r="P18" s="217"/>
    </row>
    <row r="19" spans="2:16">
      <c r="B19" s="274" t="s">
        <v>374</v>
      </c>
      <c r="C19" s="640">
        <f t="shared" si="0"/>
        <v>0</v>
      </c>
      <c r="D19" s="200">
        <v>4</v>
      </c>
      <c r="E19" s="643">
        <f>C19*D19</f>
        <v>0</v>
      </c>
      <c r="F19" s="419"/>
      <c r="G19" s="222"/>
      <c r="H19" s="167"/>
      <c r="J19" s="272"/>
      <c r="K19" s="217"/>
      <c r="L19" s="217"/>
      <c r="M19" s="217"/>
      <c r="N19" s="217"/>
      <c r="O19" s="217"/>
      <c r="P19" s="217"/>
    </row>
    <row r="20" spans="2:16">
      <c r="B20" s="274" t="s">
        <v>375</v>
      </c>
      <c r="C20" s="640">
        <f t="shared" si="0"/>
        <v>0</v>
      </c>
      <c r="D20" s="200">
        <v>5</v>
      </c>
      <c r="E20" s="643">
        <f>D20*C20</f>
        <v>0</v>
      </c>
      <c r="F20" s="419"/>
      <c r="G20" s="223"/>
      <c r="H20" s="167"/>
      <c r="J20" s="272"/>
      <c r="K20" s="217"/>
      <c r="L20" s="217"/>
      <c r="M20" s="217"/>
      <c r="N20" s="217"/>
      <c r="O20" s="217"/>
      <c r="P20" s="217"/>
    </row>
    <row r="21" spans="2:16">
      <c r="B21" s="528" t="s">
        <v>46</v>
      </c>
      <c r="C21" s="641">
        <f>SUM(C17:C20)</f>
        <v>0</v>
      </c>
      <c r="D21" s="201"/>
      <c r="E21" s="644">
        <f>SUM(E17:E20)</f>
        <v>0</v>
      </c>
      <c r="F21" s="217"/>
      <c r="G21" s="217"/>
      <c r="H21" s="167"/>
      <c r="I21" s="167"/>
      <c r="J21" s="272"/>
      <c r="K21" s="217"/>
      <c r="L21" s="217"/>
      <c r="M21" s="217"/>
      <c r="N21" s="217"/>
      <c r="O21" s="217"/>
      <c r="P21" s="217"/>
    </row>
    <row r="22" spans="2:16">
      <c r="B22" s="274" t="s">
        <v>72</v>
      </c>
      <c r="C22" s="642"/>
      <c r="D22" s="419"/>
      <c r="E22" s="643">
        <f>D22*C22</f>
        <v>0</v>
      </c>
      <c r="F22" s="419"/>
      <c r="G22" s="262"/>
      <c r="H22" s="167"/>
      <c r="I22" s="167"/>
      <c r="J22" s="272"/>
      <c r="K22" s="217"/>
      <c r="L22" s="217"/>
      <c r="M22" s="217"/>
      <c r="N22" s="217"/>
      <c r="O22" s="217"/>
      <c r="P22" s="217"/>
    </row>
    <row r="23" spans="2:16">
      <c r="B23" s="528" t="s">
        <v>1</v>
      </c>
      <c r="C23" s="641">
        <f>C22+C21</f>
        <v>0</v>
      </c>
      <c r="D23" s="202"/>
      <c r="E23" s="644">
        <f>SUM(E21:E22)</f>
        <v>0</v>
      </c>
      <c r="F23" s="220">
        <f>C17*F17+C18*F18+C19*F19+C20*F20+C22*F22</f>
        <v>0</v>
      </c>
      <c r="G23" s="291" t="s">
        <v>194</v>
      </c>
      <c r="H23" s="167"/>
      <c r="I23" s="167"/>
      <c r="J23" s="272"/>
      <c r="K23" s="217"/>
      <c r="L23" s="217"/>
      <c r="M23" s="217"/>
      <c r="N23" s="217"/>
      <c r="O23" s="217"/>
      <c r="P23" s="217"/>
    </row>
    <row r="24" spans="2:16">
      <c r="B24" s="280"/>
      <c r="C24" s="217"/>
      <c r="D24" s="217"/>
      <c r="E24" s="217"/>
      <c r="F24" s="368" t="e">
        <f>F23/C23</f>
        <v>#DIV/0!</v>
      </c>
      <c r="G24" s="292" t="s">
        <v>187</v>
      </c>
      <c r="H24" s="217"/>
      <c r="I24" s="217"/>
      <c r="J24" s="272"/>
      <c r="K24" s="217"/>
      <c r="L24" s="217"/>
      <c r="M24" s="217"/>
      <c r="N24" s="217"/>
      <c r="O24" s="217"/>
      <c r="P24" s="217"/>
    </row>
    <row r="25" spans="2:16">
      <c r="B25" s="281"/>
      <c r="C25" s="277"/>
      <c r="D25" s="277"/>
      <c r="E25" s="277"/>
      <c r="F25" s="366"/>
      <c r="G25" s="366"/>
      <c r="H25" s="277"/>
      <c r="I25" s="277"/>
      <c r="J25" s="273"/>
      <c r="K25" s="217"/>
      <c r="L25" s="217"/>
      <c r="M25" s="217"/>
      <c r="N25" s="217"/>
      <c r="O25" s="217"/>
      <c r="P25" s="217"/>
    </row>
    <row r="26" spans="2:16">
      <c r="C26" s="199"/>
      <c r="D26" s="199"/>
      <c r="E26" s="199"/>
      <c r="F26" s="167"/>
      <c r="G26" s="167"/>
      <c r="H26" s="167"/>
      <c r="I26" s="217"/>
      <c r="J26" s="364"/>
      <c r="K26" s="217"/>
      <c r="L26" s="217"/>
      <c r="M26" s="217"/>
      <c r="N26" s="217"/>
      <c r="O26" s="217"/>
      <c r="P26" s="217"/>
    </row>
    <row r="27" spans="2:16" ht="15.4" thickBot="1">
      <c r="B27" s="218"/>
      <c r="C27" s="268"/>
      <c r="D27" s="268"/>
      <c r="E27" s="268"/>
      <c r="F27" s="240"/>
      <c r="G27" s="240"/>
      <c r="H27" s="240"/>
      <c r="I27" s="266"/>
      <c r="J27" s="266"/>
      <c r="K27" s="217"/>
      <c r="L27" s="217"/>
      <c r="M27" s="217"/>
      <c r="N27" s="217"/>
      <c r="O27" s="217"/>
      <c r="P27" s="217"/>
    </row>
    <row r="28" spans="2:16" ht="15.4" thickTop="1">
      <c r="B28" s="288" t="s">
        <v>205</v>
      </c>
      <c r="C28" s="224"/>
      <c r="D28" s="167"/>
      <c r="E28" s="167"/>
      <c r="F28" s="365"/>
      <c r="G28" s="167"/>
      <c r="H28" s="167"/>
      <c r="I28" s="217"/>
      <c r="J28" s="276"/>
      <c r="K28" s="217"/>
      <c r="L28" s="217"/>
      <c r="M28" s="217"/>
      <c r="N28" s="217"/>
      <c r="O28" s="217"/>
      <c r="P28" s="217"/>
    </row>
    <row r="29" spans="2:16" s="263" customFormat="1" ht="30" customHeight="1">
      <c r="B29" s="289"/>
      <c r="C29" s="203" t="s">
        <v>2</v>
      </c>
      <c r="D29" s="532" t="s">
        <v>3</v>
      </c>
      <c r="E29" s="203" t="s">
        <v>4</v>
      </c>
      <c r="F29" s="225"/>
      <c r="G29" s="225"/>
      <c r="H29" s="225"/>
      <c r="I29" s="227"/>
      <c r="J29" s="372"/>
      <c r="K29" s="227"/>
      <c r="L29" s="227"/>
      <c r="M29" s="227"/>
      <c r="N29" s="227"/>
      <c r="O29" s="227"/>
      <c r="P29" s="227"/>
    </row>
    <row r="30" spans="2:16">
      <c r="B30" s="601" t="s">
        <v>472</v>
      </c>
      <c r="C30" s="419"/>
      <c r="D30" s="478"/>
      <c r="E30" s="94">
        <f>C30*D30*12</f>
        <v>0</v>
      </c>
      <c r="F30" s="167"/>
      <c r="G30" s="167"/>
      <c r="H30" s="167"/>
      <c r="I30" s="217"/>
      <c r="J30" s="272"/>
      <c r="K30" s="217"/>
      <c r="L30" s="217"/>
      <c r="M30" s="217"/>
      <c r="N30" s="217"/>
      <c r="O30" s="217"/>
      <c r="P30" s="217"/>
    </row>
    <row r="31" spans="2:16">
      <c r="B31" s="601" t="s">
        <v>474</v>
      </c>
      <c r="C31" s="419"/>
      <c r="D31" s="478"/>
      <c r="E31" s="94">
        <f>C31*D31*12</f>
        <v>0</v>
      </c>
      <c r="F31" s="167"/>
      <c r="G31" s="167"/>
      <c r="H31" s="167"/>
      <c r="I31" s="217"/>
      <c r="J31" s="272"/>
      <c r="K31" s="217"/>
      <c r="L31" s="217"/>
      <c r="M31" s="217"/>
      <c r="N31" s="217"/>
      <c r="O31" s="217"/>
      <c r="P31" s="217"/>
    </row>
    <row r="32" spans="2:16">
      <c r="B32" s="601" t="s">
        <v>473</v>
      </c>
      <c r="C32" s="419"/>
      <c r="D32" s="478"/>
      <c r="E32" s="94">
        <f>C32*D32*12</f>
        <v>0</v>
      </c>
      <c r="F32" s="167"/>
      <c r="G32" s="167"/>
      <c r="H32" s="167"/>
      <c r="I32" s="217"/>
      <c r="J32" s="272"/>
      <c r="K32" s="217"/>
      <c r="L32" s="217"/>
      <c r="M32" s="217"/>
      <c r="N32" s="217"/>
      <c r="O32" s="217"/>
      <c r="P32" s="217"/>
    </row>
    <row r="33" spans="2:29" s="263" customFormat="1" ht="30.75" customHeight="1">
      <c r="B33" s="290"/>
      <c r="C33" s="533" t="s">
        <v>5</v>
      </c>
      <c r="D33" s="534" t="s">
        <v>6</v>
      </c>
      <c r="E33" s="203" t="s">
        <v>4</v>
      </c>
      <c r="F33" s="225"/>
      <c r="G33" s="264"/>
      <c r="H33" s="225"/>
      <c r="I33" s="227"/>
      <c r="J33" s="372"/>
      <c r="K33" s="227"/>
      <c r="L33" s="227"/>
      <c r="M33" s="227"/>
      <c r="N33" s="227"/>
      <c r="O33" s="227"/>
      <c r="P33" s="227"/>
    </row>
    <row r="34" spans="2:29">
      <c r="B34" s="274" t="s">
        <v>80</v>
      </c>
      <c r="C34" s="480">
        <f>F7</f>
        <v>0</v>
      </c>
      <c r="D34" s="420"/>
      <c r="E34" s="94">
        <f>D34*C34</f>
        <v>0</v>
      </c>
      <c r="F34" s="226"/>
      <c r="G34" s="167"/>
      <c r="H34" s="167"/>
      <c r="I34" s="217"/>
      <c r="J34" s="272"/>
      <c r="K34" s="217"/>
      <c r="L34" s="217"/>
      <c r="M34" s="217"/>
      <c r="N34" s="217"/>
      <c r="O34" s="217"/>
      <c r="P34" s="217"/>
    </row>
    <row r="35" spans="2:29" ht="32.25" customHeight="1">
      <c r="B35" s="274"/>
      <c r="C35" s="533" t="s">
        <v>5</v>
      </c>
      <c r="D35" s="534" t="s">
        <v>6</v>
      </c>
      <c r="E35" s="94"/>
      <c r="F35" s="226"/>
      <c r="G35" s="167"/>
      <c r="H35" s="167"/>
      <c r="I35" s="217"/>
      <c r="J35" s="272"/>
      <c r="K35" s="217"/>
      <c r="L35" s="217"/>
      <c r="M35" s="217"/>
      <c r="N35" s="217"/>
      <c r="O35" s="217"/>
      <c r="P35" s="217"/>
    </row>
    <row r="36" spans="2:29">
      <c r="B36" s="274" t="s">
        <v>102</v>
      </c>
      <c r="C36" s="480">
        <f>F8</f>
        <v>0</v>
      </c>
      <c r="D36" s="420"/>
      <c r="E36" s="94">
        <f>D36*C36</f>
        <v>0</v>
      </c>
      <c r="F36" s="226"/>
      <c r="G36" s="167"/>
      <c r="H36" s="167"/>
      <c r="I36" s="217"/>
      <c r="J36" s="272"/>
      <c r="K36" s="217"/>
      <c r="L36" s="217"/>
      <c r="M36" s="217"/>
      <c r="N36" s="217"/>
      <c r="O36" s="217"/>
      <c r="P36" s="217"/>
    </row>
    <row r="37" spans="2:29">
      <c r="B37" s="280"/>
      <c r="C37" s="217"/>
      <c r="D37" s="217"/>
      <c r="E37" s="217"/>
      <c r="F37" s="217"/>
      <c r="G37" s="217"/>
      <c r="H37" s="217"/>
      <c r="I37" s="217"/>
      <c r="J37" s="272"/>
      <c r="K37" s="217"/>
      <c r="L37" s="217"/>
      <c r="M37" s="217"/>
      <c r="N37" s="217"/>
      <c r="O37" s="217"/>
      <c r="P37" s="217"/>
    </row>
    <row r="38" spans="2:29" s="263" customFormat="1" ht="15" customHeight="1">
      <c r="B38" s="289"/>
      <c r="C38" s="203" t="s">
        <v>7</v>
      </c>
      <c r="D38" s="203" t="s">
        <v>124</v>
      </c>
      <c r="E38" s="203" t="s">
        <v>4</v>
      </c>
      <c r="F38" s="225"/>
      <c r="G38" s="225"/>
      <c r="H38" s="227"/>
      <c r="I38" s="227"/>
      <c r="J38" s="372"/>
      <c r="K38" s="227"/>
      <c r="L38" s="227"/>
      <c r="M38" s="227"/>
      <c r="N38" s="227"/>
      <c r="O38" s="227"/>
      <c r="P38" s="227"/>
    </row>
    <row r="39" spans="2:29">
      <c r="B39" s="274" t="s">
        <v>8</v>
      </c>
      <c r="C39" s="480">
        <f>+C23</f>
        <v>0</v>
      </c>
      <c r="D39" s="420"/>
      <c r="E39" s="94">
        <f>C39*D39</f>
        <v>0</v>
      </c>
      <c r="F39" s="167"/>
      <c r="G39" s="167"/>
      <c r="H39" s="217"/>
      <c r="I39" s="217"/>
      <c r="J39" s="272"/>
      <c r="K39" s="217"/>
      <c r="L39" s="217"/>
      <c r="M39" s="217"/>
      <c r="N39" s="217"/>
      <c r="O39" s="217"/>
      <c r="P39" s="217"/>
    </row>
    <row r="40" spans="2:29">
      <c r="B40" s="280"/>
      <c r="C40" s="217"/>
      <c r="D40" s="228"/>
      <c r="E40" s="217"/>
      <c r="F40" s="217"/>
      <c r="G40" s="217"/>
      <c r="H40" s="217"/>
      <c r="I40" s="217"/>
      <c r="J40" s="272"/>
      <c r="K40" s="217"/>
      <c r="L40" s="217"/>
      <c r="M40" s="217"/>
      <c r="N40" s="217"/>
      <c r="O40" s="217"/>
      <c r="P40" s="217"/>
      <c r="Q40" s="205"/>
      <c r="R40" s="167"/>
      <c r="S40" s="167"/>
      <c r="T40" s="167"/>
      <c r="U40" s="167"/>
    </row>
    <row r="41" spans="2:29">
      <c r="B41" s="280"/>
      <c r="C41" s="167"/>
      <c r="D41" s="206" t="s">
        <v>122</v>
      </c>
      <c r="E41" s="207">
        <f>E39+E34+E30+E36</f>
        <v>0</v>
      </c>
      <c r="F41" s="229" t="e">
        <f>E41/$J$119</f>
        <v>#DIV/0!</v>
      </c>
      <c r="G41" s="94"/>
      <c r="H41" s="217"/>
      <c r="I41" s="217"/>
      <c r="J41" s="272"/>
      <c r="K41" s="217"/>
      <c r="L41" s="217"/>
      <c r="M41" s="217"/>
      <c r="N41" s="217"/>
      <c r="O41" s="217"/>
      <c r="P41" s="217"/>
      <c r="Q41" s="205"/>
      <c r="R41" s="167"/>
      <c r="S41" s="167"/>
      <c r="T41" s="167"/>
      <c r="U41" s="167"/>
    </row>
    <row r="42" spans="2:29">
      <c r="B42" s="281"/>
      <c r="C42" s="277"/>
      <c r="D42" s="277"/>
      <c r="E42" s="277"/>
      <c r="F42" s="277"/>
      <c r="G42" s="243"/>
      <c r="H42" s="277"/>
      <c r="I42" s="277"/>
      <c r="J42" s="273"/>
      <c r="K42" s="217"/>
      <c r="L42" s="217"/>
      <c r="M42" s="217"/>
      <c r="N42" s="217"/>
      <c r="O42" s="217"/>
      <c r="P42" s="217"/>
      <c r="Q42" s="374"/>
      <c r="R42" s="203"/>
      <c r="S42" s="203"/>
      <c r="T42" s="203"/>
      <c r="U42" s="375"/>
    </row>
    <row r="43" spans="2:29" ht="15.4" thickBot="1">
      <c r="C43" s="18"/>
      <c r="D43" s="18"/>
      <c r="E43" s="18"/>
      <c r="F43" s="18"/>
      <c r="G43" s="18"/>
      <c r="H43" s="44"/>
      <c r="I43" s="217"/>
      <c r="J43" s="217"/>
      <c r="K43" s="217"/>
      <c r="L43" s="217"/>
      <c r="M43" s="217"/>
      <c r="N43" s="217"/>
      <c r="O43" s="217"/>
      <c r="P43" s="217"/>
      <c r="Q43" s="167"/>
      <c r="R43" s="167"/>
      <c r="S43" s="265"/>
      <c r="T43" s="94"/>
      <c r="U43" s="217"/>
    </row>
    <row r="44" spans="2:29" ht="15.4" thickTop="1">
      <c r="B44" s="288" t="s">
        <v>354</v>
      </c>
      <c r="C44" s="365"/>
      <c r="D44" s="365"/>
      <c r="E44" s="365"/>
      <c r="F44" s="365"/>
      <c r="G44" s="365"/>
      <c r="H44" s="365"/>
      <c r="I44" s="365"/>
      <c r="J44" s="276"/>
      <c r="K44" s="172"/>
      <c r="L44" s="172"/>
      <c r="M44" s="616" t="s">
        <v>476</v>
      </c>
      <c r="N44" s="619"/>
      <c r="O44" s="617"/>
      <c r="P44" s="617"/>
      <c r="Q44" s="618"/>
      <c r="R44" s="619"/>
      <c r="S44" s="619"/>
      <c r="T44" s="620"/>
      <c r="U44" s="617"/>
      <c r="V44" s="621"/>
      <c r="W44" s="622"/>
    </row>
    <row r="45" spans="2:29" ht="47.25" customHeight="1">
      <c r="B45" s="738"/>
      <c r="F45" s="508"/>
      <c r="G45" s="364"/>
      <c r="H45" s="611" t="s">
        <v>475</v>
      </c>
      <c r="I45" s="611" t="s">
        <v>495</v>
      </c>
      <c r="J45" s="509" t="s">
        <v>340</v>
      </c>
      <c r="K45" s="118"/>
      <c r="L45" s="172"/>
      <c r="M45" s="623"/>
      <c r="N45" s="615" t="s">
        <v>477</v>
      </c>
      <c r="O45" s="614">
        <f>B61</f>
        <v>0.27</v>
      </c>
      <c r="P45" s="614">
        <f>B69</f>
        <v>0.37</v>
      </c>
      <c r="Q45" s="614">
        <f>B77</f>
        <v>0.47</v>
      </c>
      <c r="R45" s="614">
        <f>B85</f>
        <v>0.56999999999999995</v>
      </c>
      <c r="S45" s="614">
        <f>B93</f>
        <v>0.8</v>
      </c>
      <c r="T45" s="614">
        <f>B101</f>
        <v>1</v>
      </c>
      <c r="U45" s="615" t="s">
        <v>72</v>
      </c>
      <c r="V45" s="899" t="s">
        <v>1</v>
      </c>
      <c r="W45" s="900"/>
    </row>
    <row r="46" spans="2:29">
      <c r="B46" s="650" t="s">
        <v>530</v>
      </c>
      <c r="C46" s="586">
        <f>'AMI &amp; Rent'!A5</f>
        <v>155300</v>
      </c>
      <c r="D46" s="513" t="s">
        <v>338</v>
      </c>
      <c r="F46" s="510" t="s">
        <v>341</v>
      </c>
      <c r="G46" s="497" t="s">
        <v>342</v>
      </c>
      <c r="H46" s="587">
        <f>'AMI &amp; Rent'!F5</f>
        <v>74</v>
      </c>
      <c r="I46" s="587">
        <f>'AMI &amp; Rent'!E5</f>
        <v>85</v>
      </c>
      <c r="J46" s="588">
        <f>'AMI &amp; Rent'!G5</f>
        <v>25</v>
      </c>
      <c r="K46" s="118"/>
      <c r="L46" s="172"/>
      <c r="M46" s="625" t="s">
        <v>342</v>
      </c>
      <c r="N46" s="628">
        <f>I55</f>
        <v>0</v>
      </c>
      <c r="O46" s="628">
        <f>I63</f>
        <v>0</v>
      </c>
      <c r="P46" s="628">
        <f>I71</f>
        <v>0</v>
      </c>
      <c r="Q46" s="628">
        <f>I79</f>
        <v>0</v>
      </c>
      <c r="R46" s="628">
        <f>I87</f>
        <v>0</v>
      </c>
      <c r="S46" s="628">
        <f>I95</f>
        <v>0</v>
      </c>
      <c r="T46" s="628">
        <f>I103</f>
        <v>0</v>
      </c>
      <c r="U46" s="628">
        <v>0</v>
      </c>
      <c r="V46" s="628">
        <f>SUM(N46:U46)</f>
        <v>0</v>
      </c>
      <c r="W46" s="629" t="e">
        <f>V46/$V$50</f>
        <v>#DIV/0!</v>
      </c>
      <c r="AC46" s="651" t="s">
        <v>496</v>
      </c>
    </row>
    <row r="47" spans="2:29">
      <c r="B47" s="514"/>
      <c r="C47" s="894">
        <f>'AMI &amp; Rent'!A6</f>
        <v>2752</v>
      </c>
      <c r="D47" s="515" t="s">
        <v>339</v>
      </c>
      <c r="F47" s="510" t="s">
        <v>343</v>
      </c>
      <c r="G47" s="497" t="s">
        <v>344</v>
      </c>
      <c r="H47" s="587">
        <f>'AMI &amp; Rent'!F6</f>
        <v>84</v>
      </c>
      <c r="I47" s="587">
        <f>'AMI &amp; Rent'!E6</f>
        <v>97</v>
      </c>
      <c r="J47" s="588">
        <f>'AMI &amp; Rent'!G6</f>
        <v>28</v>
      </c>
      <c r="K47" s="118"/>
      <c r="L47" s="172"/>
      <c r="M47" s="626" t="s">
        <v>344</v>
      </c>
      <c r="N47" s="630">
        <f>I56</f>
        <v>0</v>
      </c>
      <c r="O47" s="630">
        <f>I64</f>
        <v>0</v>
      </c>
      <c r="P47" s="630">
        <f>I72</f>
        <v>0</v>
      </c>
      <c r="Q47" s="630">
        <f>I80</f>
        <v>0</v>
      </c>
      <c r="R47" s="630">
        <f>I88</f>
        <v>0</v>
      </c>
      <c r="S47" s="630">
        <f>I96</f>
        <v>0</v>
      </c>
      <c r="T47" s="630">
        <f>I104</f>
        <v>0</v>
      </c>
      <c r="U47" s="630">
        <v>0</v>
      </c>
      <c r="V47" s="630">
        <f>SUM(N47:U47)</f>
        <v>0</v>
      </c>
      <c r="W47" s="631" t="e">
        <f>V47/$V$50</f>
        <v>#DIV/0!</v>
      </c>
      <c r="AC47" s="651" t="s">
        <v>475</v>
      </c>
    </row>
    <row r="48" spans="2:29">
      <c r="B48" s="738"/>
      <c r="F48" s="510" t="s">
        <v>345</v>
      </c>
      <c r="G48" s="497" t="s">
        <v>346</v>
      </c>
      <c r="H48" s="587">
        <f>'AMI &amp; Rent'!F7</f>
        <v>109</v>
      </c>
      <c r="I48" s="587">
        <f>'AMI &amp; Rent'!E7</f>
        <v>128</v>
      </c>
      <c r="J48" s="588">
        <f>'AMI &amp; Rent'!G7</f>
        <v>33</v>
      </c>
      <c r="K48" s="496"/>
      <c r="L48" s="172"/>
      <c r="M48" s="626" t="s">
        <v>346</v>
      </c>
      <c r="N48" s="630">
        <f>I57</f>
        <v>0</v>
      </c>
      <c r="O48" s="630">
        <f>I65</f>
        <v>0</v>
      </c>
      <c r="P48" s="630">
        <f>I73</f>
        <v>0</v>
      </c>
      <c r="Q48" s="630">
        <f>I81</f>
        <v>0</v>
      </c>
      <c r="R48" s="630">
        <f>I89</f>
        <v>0</v>
      </c>
      <c r="S48" s="630">
        <f>I97</f>
        <v>0</v>
      </c>
      <c r="T48" s="630">
        <f>I105</f>
        <v>0</v>
      </c>
      <c r="U48" s="632">
        <f>C22</f>
        <v>0</v>
      </c>
      <c r="V48" s="630">
        <f>SUM(N48:U48)</f>
        <v>0</v>
      </c>
      <c r="W48" s="631" t="e">
        <f>V48/$V$50</f>
        <v>#DIV/0!</v>
      </c>
      <c r="AC48" s="651" t="s">
        <v>495</v>
      </c>
    </row>
    <row r="49" spans="2:29" ht="15" customHeight="1">
      <c r="B49" s="901" t="s">
        <v>494</v>
      </c>
      <c r="C49" s="902" t="s">
        <v>495</v>
      </c>
      <c r="D49" s="902"/>
      <c r="F49" s="511" t="s">
        <v>347</v>
      </c>
      <c r="G49" s="512" t="s">
        <v>348</v>
      </c>
      <c r="H49" s="807">
        <f>'AMI &amp; Rent'!F8</f>
        <v>134</v>
      </c>
      <c r="I49" s="807">
        <f>'AMI &amp; Rent'!E8</f>
        <v>159</v>
      </c>
      <c r="J49" s="808">
        <f>'AMI &amp; Rent'!G8</f>
        <v>37</v>
      </c>
      <c r="K49" s="612"/>
      <c r="L49" s="172"/>
      <c r="M49" s="627" t="s">
        <v>348</v>
      </c>
      <c r="N49" s="633">
        <f>I58</f>
        <v>0</v>
      </c>
      <c r="O49" s="633">
        <f>I66</f>
        <v>0</v>
      </c>
      <c r="P49" s="633">
        <f>I74</f>
        <v>0</v>
      </c>
      <c r="Q49" s="633">
        <f>I82</f>
        <v>0</v>
      </c>
      <c r="R49" s="633">
        <f>I90</f>
        <v>0</v>
      </c>
      <c r="S49" s="633">
        <f>I98</f>
        <v>0</v>
      </c>
      <c r="T49" s="633">
        <f>I106</f>
        <v>0</v>
      </c>
      <c r="U49" s="633">
        <v>0</v>
      </c>
      <c r="V49" s="633">
        <f>SUM(N49:U49)</f>
        <v>0</v>
      </c>
      <c r="W49" s="634" t="e">
        <f>V49/$V$50</f>
        <v>#DIV/0!</v>
      </c>
      <c r="AC49" s="651" t="s">
        <v>340</v>
      </c>
    </row>
    <row r="50" spans="2:29">
      <c r="B50" s="901"/>
      <c r="C50" s="902"/>
      <c r="D50" s="902"/>
      <c r="F50" s="498"/>
      <c r="G50" s="559"/>
      <c r="H50" s="497"/>
      <c r="I50" s="120"/>
      <c r="J50" s="560"/>
      <c r="K50" s="613"/>
      <c r="L50" s="172"/>
      <c r="M50" s="623"/>
      <c r="N50" s="118">
        <f>SUM(N46:N49)</f>
        <v>0</v>
      </c>
      <c r="O50" s="118">
        <f>SUM(O46:O49)</f>
        <v>0</v>
      </c>
      <c r="P50" s="118">
        <f t="shared" ref="P50:V50" si="1">SUM(P46:P49)</f>
        <v>0</v>
      </c>
      <c r="Q50" s="118">
        <f t="shared" si="1"/>
        <v>0</v>
      </c>
      <c r="R50" s="118">
        <f t="shared" si="1"/>
        <v>0</v>
      </c>
      <c r="S50" s="118">
        <f t="shared" si="1"/>
        <v>0</v>
      </c>
      <c r="T50" s="118">
        <f t="shared" si="1"/>
        <v>0</v>
      </c>
      <c r="U50" s="118">
        <f t="shared" si="1"/>
        <v>0</v>
      </c>
      <c r="V50" s="118">
        <f t="shared" si="1"/>
        <v>0</v>
      </c>
      <c r="W50" s="635"/>
      <c r="AC50" s="651" t="s">
        <v>497</v>
      </c>
    </row>
    <row r="51" spans="2:29">
      <c r="B51" s="738"/>
      <c r="F51" s="498"/>
      <c r="G51" s="559"/>
      <c r="H51" s="497"/>
      <c r="I51" s="120"/>
      <c r="J51" s="560"/>
      <c r="K51" s="613"/>
      <c r="L51" s="172"/>
      <c r="M51" s="624"/>
      <c r="N51" s="636" t="e">
        <f>N50/$V$50</f>
        <v>#DIV/0!</v>
      </c>
      <c r="O51" s="636" t="e">
        <f>O50/$V$50</f>
        <v>#DIV/0!</v>
      </c>
      <c r="P51" s="636" t="e">
        <f t="shared" ref="P51:U51" si="2">P50/$V$50</f>
        <v>#DIV/0!</v>
      </c>
      <c r="Q51" s="636" t="e">
        <f t="shared" si="2"/>
        <v>#DIV/0!</v>
      </c>
      <c r="R51" s="636" t="e">
        <f t="shared" si="2"/>
        <v>#DIV/0!</v>
      </c>
      <c r="S51" s="636" t="e">
        <f t="shared" si="2"/>
        <v>#DIV/0!</v>
      </c>
      <c r="T51" s="636" t="e">
        <f t="shared" si="2"/>
        <v>#DIV/0!</v>
      </c>
      <c r="U51" s="636" t="e">
        <f t="shared" si="2"/>
        <v>#DIV/0!</v>
      </c>
      <c r="V51" s="637"/>
      <c r="W51" s="638"/>
      <c r="AC51" s="651"/>
    </row>
    <row r="52" spans="2:29">
      <c r="B52" s="739" t="s">
        <v>371</v>
      </c>
      <c r="C52" s="217"/>
      <c r="D52" s="217"/>
      <c r="E52" s="527"/>
      <c r="F52" s="76"/>
      <c r="G52" s="479"/>
      <c r="H52" s="479"/>
      <c r="I52" s="479"/>
      <c r="J52" s="506"/>
      <c r="K52" s="118"/>
      <c r="L52" s="172"/>
      <c r="M52"/>
      <c r="N52"/>
    </row>
    <row r="53" spans="2:29">
      <c r="B53" s="740" t="s">
        <v>505</v>
      </c>
      <c r="C53" s="499" t="s">
        <v>357</v>
      </c>
      <c r="D53" s="500">
        <f>$C$46*B53</f>
        <v>0</v>
      </c>
      <c r="E53" s="115" t="s">
        <v>478</v>
      </c>
      <c r="G53" s="118"/>
      <c r="H53" s="118"/>
      <c r="I53" s="118"/>
      <c r="J53" s="507"/>
      <c r="K53" s="118"/>
      <c r="L53" s="172"/>
      <c r="M53"/>
      <c r="N53"/>
    </row>
    <row r="54" spans="2:29" ht="30">
      <c r="B54" s="741" t="s">
        <v>358</v>
      </c>
      <c r="C54" s="497" t="s">
        <v>349</v>
      </c>
      <c r="D54" s="501" t="s">
        <v>350</v>
      </c>
      <c r="E54" s="95" t="s">
        <v>370</v>
      </c>
      <c r="F54" s="732" t="s">
        <v>351</v>
      </c>
      <c r="G54" s="592" t="s">
        <v>392</v>
      </c>
      <c r="H54" s="591" t="s">
        <v>353</v>
      </c>
      <c r="I54" s="496" t="s">
        <v>355</v>
      </c>
      <c r="J54" s="503" t="s">
        <v>356</v>
      </c>
      <c r="L54" s="172"/>
      <c r="M54"/>
      <c r="N54"/>
    </row>
    <row r="55" spans="2:29">
      <c r="B55" s="742" t="s">
        <v>342</v>
      </c>
      <c r="C55" s="497">
        <v>1</v>
      </c>
      <c r="D55" s="502">
        <v>0.6</v>
      </c>
      <c r="E55" s="498">
        <f>$D$53*D55</f>
        <v>0</v>
      </c>
      <c r="F55" s="612">
        <f>ROUNDDOWN(E55*0.3/12,0)</f>
        <v>0</v>
      </c>
      <c r="G55" s="589">
        <f>G63</f>
        <v>-85</v>
      </c>
      <c r="H55" s="733">
        <v>215</v>
      </c>
      <c r="I55" s="639"/>
      <c r="J55" s="505">
        <f>H55*I55*12</f>
        <v>0</v>
      </c>
      <c r="L55" s="172"/>
      <c r="M55"/>
      <c r="N55"/>
    </row>
    <row r="56" spans="2:29">
      <c r="B56" s="742" t="s">
        <v>344</v>
      </c>
      <c r="C56" s="497">
        <v>1.5</v>
      </c>
      <c r="D56" s="502">
        <v>0.75</v>
      </c>
      <c r="E56" s="498">
        <f>$D$53*D56</f>
        <v>0</v>
      </c>
      <c r="F56" s="612">
        <f>ROUND(E56*0.3/12,0)</f>
        <v>0</v>
      </c>
      <c r="G56" s="589">
        <f>G64</f>
        <v>-97</v>
      </c>
      <c r="H56" s="733">
        <v>283</v>
      </c>
      <c r="I56" s="639"/>
      <c r="J56" s="505">
        <f>H56*I56*12</f>
        <v>0</v>
      </c>
      <c r="L56" s="172"/>
      <c r="M56"/>
      <c r="N56"/>
    </row>
    <row r="57" spans="2:29">
      <c r="B57" s="742" t="s">
        <v>346</v>
      </c>
      <c r="C57" s="497">
        <v>3</v>
      </c>
      <c r="D57" s="502">
        <v>0.9</v>
      </c>
      <c r="E57" s="498">
        <f>$D$53*D57</f>
        <v>0</v>
      </c>
      <c r="F57" s="612">
        <f>ROUNDDOWN(E57*0.3/12,0)</f>
        <v>0</v>
      </c>
      <c r="G57" s="589">
        <f>G65</f>
        <v>-128</v>
      </c>
      <c r="H57" s="733">
        <v>425</v>
      </c>
      <c r="I57" s="639"/>
      <c r="J57" s="505">
        <f>H57*I57*12</f>
        <v>0</v>
      </c>
      <c r="L57" s="172"/>
      <c r="M57"/>
      <c r="N57"/>
    </row>
    <row r="58" spans="2:29">
      <c r="B58" s="742" t="s">
        <v>348</v>
      </c>
      <c r="C58" s="497">
        <v>4.5</v>
      </c>
      <c r="D58" s="502">
        <v>1.04</v>
      </c>
      <c r="E58" s="498">
        <f>$D$53*D58</f>
        <v>0</v>
      </c>
      <c r="F58" s="612">
        <f>ROUNDDOWN(E58*0.3/12,0)</f>
        <v>0</v>
      </c>
      <c r="G58" s="589">
        <f>G66</f>
        <v>-159</v>
      </c>
      <c r="H58" s="733">
        <v>512</v>
      </c>
      <c r="I58" s="639"/>
      <c r="J58" s="505">
        <f>H58*I58*12</f>
        <v>0</v>
      </c>
      <c r="L58" s="172"/>
      <c r="M58"/>
      <c r="N58"/>
    </row>
    <row r="59" spans="2:29">
      <c r="B59" s="738"/>
      <c r="C59" s="118"/>
      <c r="D59" s="118"/>
      <c r="E59" s="118"/>
      <c r="G59" s="734"/>
      <c r="H59" s="734"/>
      <c r="I59" s="118">
        <f>SUM(I55:I58)</f>
        <v>0</v>
      </c>
      <c r="J59" s="505">
        <f>SUM(J55:J58)</f>
        <v>0</v>
      </c>
      <c r="K59" s="118"/>
      <c r="L59" s="172"/>
      <c r="M59"/>
      <c r="N59"/>
    </row>
    <row r="60" spans="2:29">
      <c r="B60" s="738"/>
      <c r="C60" s="479"/>
      <c r="D60" s="479"/>
      <c r="E60" s="479"/>
      <c r="F60" s="76"/>
      <c r="G60" s="590"/>
      <c r="H60" s="590"/>
      <c r="I60" s="479"/>
      <c r="J60" s="506"/>
      <c r="K60" s="118"/>
      <c r="L60" s="172"/>
      <c r="M60"/>
      <c r="N60"/>
    </row>
    <row r="61" spans="2:29">
      <c r="B61" s="740">
        <v>0.27</v>
      </c>
      <c r="C61" s="499" t="s">
        <v>357</v>
      </c>
      <c r="D61" s="500">
        <f>$C$46*B61</f>
        <v>41931</v>
      </c>
      <c r="E61" s="735"/>
      <c r="G61" s="734"/>
      <c r="H61" s="734"/>
      <c r="I61" s="118"/>
      <c r="J61" s="507"/>
      <c r="K61" s="118"/>
      <c r="L61" s="172"/>
      <c r="M61"/>
      <c r="N61"/>
    </row>
    <row r="62" spans="2:29" ht="30">
      <c r="B62" s="741" t="s">
        <v>358</v>
      </c>
      <c r="C62" s="497" t="s">
        <v>349</v>
      </c>
      <c r="D62" s="501" t="s">
        <v>350</v>
      </c>
      <c r="E62" s="95" t="s">
        <v>370</v>
      </c>
      <c r="F62" s="732" t="s">
        <v>351</v>
      </c>
      <c r="G62" s="592" t="s">
        <v>392</v>
      </c>
      <c r="H62" s="591" t="s">
        <v>353</v>
      </c>
      <c r="I62" s="496" t="s">
        <v>355</v>
      </c>
      <c r="J62" s="503" t="s">
        <v>356</v>
      </c>
      <c r="L62" s="172"/>
      <c r="M62"/>
      <c r="N62"/>
    </row>
    <row r="63" spans="2:29">
      <c r="B63" s="742" t="s">
        <v>342</v>
      </c>
      <c r="C63" s="497">
        <v>1</v>
      </c>
      <c r="D63" s="502">
        <v>0.6</v>
      </c>
      <c r="E63" s="498">
        <f>$D$61*D63</f>
        <v>25158.6</v>
      </c>
      <c r="F63" s="612">
        <f>'AMI &amp; Rent'!E23</f>
        <v>629</v>
      </c>
      <c r="G63" s="589">
        <f>IF($C$49="No Utilities",0,IF($C$49="Electricity &amp; Gas Allowance",H46+J46,INDEX($G$45:$J$49,MATCH(B63,$G$45:$G$49,0),MATCH($C$49,$G$45:$J$45,0))))*-1</f>
        <v>-85</v>
      </c>
      <c r="H63" s="733">
        <f>F63+G63</f>
        <v>544</v>
      </c>
      <c r="I63" s="639"/>
      <c r="J63" s="505">
        <f>H63*I63*12</f>
        <v>0</v>
      </c>
      <c r="L63" s="172"/>
      <c r="M63"/>
      <c r="N63"/>
    </row>
    <row r="64" spans="2:29">
      <c r="B64" s="742" t="s">
        <v>344</v>
      </c>
      <c r="C64" s="497">
        <v>1.5</v>
      </c>
      <c r="D64" s="502">
        <v>0.75</v>
      </c>
      <c r="E64" s="498">
        <f>$D$61*D64</f>
        <v>31448.25</v>
      </c>
      <c r="F64" s="612">
        <f>'AMI &amp; Rent'!E24</f>
        <v>786</v>
      </c>
      <c r="G64" s="589">
        <f>IF($C$49="No Utilities",0,IF($C$49="Electricity &amp; Gas Allowance",H47+J47,INDEX($G$45:$J$49,MATCH(B64,$G$45:$G$49,0),MATCH($C$49,$G$45:$J$45,0))))*-1</f>
        <v>-97</v>
      </c>
      <c r="H64" s="733">
        <f>F64+G64</f>
        <v>689</v>
      </c>
      <c r="I64" s="639"/>
      <c r="J64" s="505">
        <f>H64*I64*12</f>
        <v>0</v>
      </c>
      <c r="L64" s="172"/>
      <c r="M64"/>
      <c r="N64"/>
    </row>
    <row r="65" spans="2:14">
      <c r="B65" s="742" t="s">
        <v>346</v>
      </c>
      <c r="C65" s="497">
        <v>3</v>
      </c>
      <c r="D65" s="502">
        <v>0.9</v>
      </c>
      <c r="E65" s="498">
        <f>$D$61*D65</f>
        <v>37737.9</v>
      </c>
      <c r="F65" s="612">
        <f>'AMI &amp; Rent'!E25</f>
        <v>943</v>
      </c>
      <c r="G65" s="589">
        <f>IF($C$49="No Utilities",0,IF($C$49="Electricity &amp; Gas Allowance",H48+J48,INDEX($G$45:$J$49,MATCH(B65,$G$45:$G$49,0),MATCH($C$49,$G$45:$J$45,0))))*-1</f>
        <v>-128</v>
      </c>
      <c r="H65" s="733">
        <f>F65+G65</f>
        <v>815</v>
      </c>
      <c r="I65" s="639"/>
      <c r="J65" s="505">
        <f>H65*I65*12</f>
        <v>0</v>
      </c>
      <c r="L65" s="172"/>
      <c r="M65"/>
      <c r="N65"/>
    </row>
    <row r="66" spans="2:14">
      <c r="B66" s="742" t="s">
        <v>348</v>
      </c>
      <c r="C66" s="497">
        <v>4.5</v>
      </c>
      <c r="D66" s="502">
        <v>1.04</v>
      </c>
      <c r="E66" s="498">
        <f>$D$61*D66</f>
        <v>43608.24</v>
      </c>
      <c r="F66" s="612">
        <f>'AMI &amp; Rent'!E26</f>
        <v>1090</v>
      </c>
      <c r="G66" s="589">
        <f>IF($C$49="No Utilities",0,IF($C$49="Electricity &amp; Gas Allowance",H49+J49,INDEX($G$45:$J$49,MATCH(B66,$G$45:$G$49,0),MATCH($C$49,$G$45:$J$45,0))))*-1</f>
        <v>-159</v>
      </c>
      <c r="H66" s="733">
        <f>F66+G66</f>
        <v>931</v>
      </c>
      <c r="I66" s="639"/>
      <c r="J66" s="505">
        <f>H66*I66*12</f>
        <v>0</v>
      </c>
      <c r="L66" s="172"/>
      <c r="M66"/>
      <c r="N66"/>
    </row>
    <row r="67" spans="2:14">
      <c r="B67" s="738"/>
      <c r="C67" s="118"/>
      <c r="D67" s="118"/>
      <c r="E67" s="118"/>
      <c r="G67" s="734"/>
      <c r="H67" s="734"/>
      <c r="I67" s="118">
        <f>SUM(I63:I66)</f>
        <v>0</v>
      </c>
      <c r="J67" s="505">
        <f>SUM(J63:J66)</f>
        <v>0</v>
      </c>
      <c r="K67" s="118"/>
      <c r="L67" s="172"/>
      <c r="M67"/>
      <c r="N67"/>
    </row>
    <row r="68" spans="2:14">
      <c r="B68" s="738"/>
      <c r="C68" s="479"/>
      <c r="D68" s="479"/>
      <c r="E68" s="479"/>
      <c r="F68" s="76"/>
      <c r="G68" s="590"/>
      <c r="H68" s="590"/>
      <c r="I68" s="479"/>
      <c r="J68" s="506"/>
      <c r="K68" s="118"/>
      <c r="L68" s="172"/>
      <c r="M68"/>
      <c r="N68"/>
    </row>
    <row r="69" spans="2:14">
      <c r="B69" s="740">
        <v>0.37</v>
      </c>
      <c r="C69" s="499" t="s">
        <v>357</v>
      </c>
      <c r="D69" s="500">
        <f>$C$46*B69</f>
        <v>57461</v>
      </c>
      <c r="E69" s="735"/>
      <c r="G69" s="734"/>
      <c r="H69" s="734"/>
      <c r="I69" s="118"/>
      <c r="J69" s="507"/>
      <c r="K69" s="118"/>
      <c r="L69" s="172"/>
      <c r="M69"/>
      <c r="N69"/>
    </row>
    <row r="70" spans="2:14" ht="30">
      <c r="B70" s="741" t="s">
        <v>358</v>
      </c>
      <c r="C70" s="497" t="s">
        <v>349</v>
      </c>
      <c r="D70" s="501" t="s">
        <v>350</v>
      </c>
      <c r="E70" s="95" t="s">
        <v>370</v>
      </c>
      <c r="F70" s="732" t="s">
        <v>351</v>
      </c>
      <c r="G70" s="591" t="s">
        <v>352</v>
      </c>
      <c r="H70" s="591" t="s">
        <v>353</v>
      </c>
      <c r="I70" s="496" t="s">
        <v>355</v>
      </c>
      <c r="J70" s="503" t="s">
        <v>356</v>
      </c>
      <c r="L70" s="172"/>
      <c r="M70"/>
      <c r="N70"/>
    </row>
    <row r="71" spans="2:14">
      <c r="B71" s="742" t="s">
        <v>342</v>
      </c>
      <c r="C71" s="497">
        <v>1</v>
      </c>
      <c r="D71" s="502">
        <v>0.6</v>
      </c>
      <c r="E71" s="498">
        <f>$D$69*D71</f>
        <v>34476.6</v>
      </c>
      <c r="F71" s="612">
        <f>'AMI &amp; Rent'!E35</f>
        <v>862</v>
      </c>
      <c r="G71" s="589">
        <f>G63</f>
        <v>-85</v>
      </c>
      <c r="H71" s="733">
        <f>F71+G71-1</f>
        <v>776</v>
      </c>
      <c r="I71" s="639"/>
      <c r="J71" s="505">
        <f>H71*I71*12</f>
        <v>0</v>
      </c>
      <c r="L71" s="172"/>
      <c r="M71"/>
      <c r="N71"/>
    </row>
    <row r="72" spans="2:14">
      <c r="B72" s="742" t="s">
        <v>344</v>
      </c>
      <c r="C72" s="497">
        <v>1.5</v>
      </c>
      <c r="D72" s="502">
        <v>0.75</v>
      </c>
      <c r="E72" s="498">
        <f>$D$69*D72</f>
        <v>43095.75</v>
      </c>
      <c r="F72" s="612">
        <f>'AMI &amp; Rent'!E36</f>
        <v>1078</v>
      </c>
      <c r="G72" s="589">
        <f>G64</f>
        <v>-97</v>
      </c>
      <c r="H72" s="733">
        <f>F72+G72</f>
        <v>981</v>
      </c>
      <c r="I72" s="639"/>
      <c r="J72" s="505">
        <f>H72*I72*12</f>
        <v>0</v>
      </c>
      <c r="L72" s="172"/>
      <c r="M72"/>
      <c r="N72"/>
    </row>
    <row r="73" spans="2:14">
      <c r="B73" s="742" t="s">
        <v>346</v>
      </c>
      <c r="C73" s="497">
        <v>3</v>
      </c>
      <c r="D73" s="502">
        <v>0.9</v>
      </c>
      <c r="E73" s="498">
        <f>$D$69*D73</f>
        <v>51714.9</v>
      </c>
      <c r="F73" s="612">
        <f>'AMI &amp; Rent'!E37</f>
        <v>1293</v>
      </c>
      <c r="G73" s="589">
        <f>G65</f>
        <v>-128</v>
      </c>
      <c r="H73" s="733">
        <f>F73+G73</f>
        <v>1165</v>
      </c>
      <c r="I73" s="639"/>
      <c r="J73" s="505">
        <f>H73*I73*12</f>
        <v>0</v>
      </c>
      <c r="L73" s="172"/>
      <c r="M73"/>
      <c r="N73"/>
    </row>
    <row r="74" spans="2:14">
      <c r="B74" s="742" t="s">
        <v>348</v>
      </c>
      <c r="C74" s="497">
        <v>4.5</v>
      </c>
      <c r="D74" s="502">
        <v>1.04</v>
      </c>
      <c r="E74" s="498">
        <f>$D$69*D74</f>
        <v>59759.44</v>
      </c>
      <c r="F74" s="612">
        <f>'AMI &amp; Rent'!E38</f>
        <v>1494</v>
      </c>
      <c r="G74" s="589">
        <f>G66</f>
        <v>-159</v>
      </c>
      <c r="H74" s="733">
        <f>F74+G74</f>
        <v>1335</v>
      </c>
      <c r="I74" s="639"/>
      <c r="J74" s="505">
        <f>H74*I74*12</f>
        <v>0</v>
      </c>
      <c r="L74" s="172"/>
      <c r="M74"/>
      <c r="N74"/>
    </row>
    <row r="75" spans="2:14">
      <c r="B75" s="738"/>
      <c r="C75" s="118"/>
      <c r="D75" s="118"/>
      <c r="E75" s="118"/>
      <c r="G75" s="734"/>
      <c r="H75" s="734"/>
      <c r="I75" s="118">
        <f>SUM(I71:I74)</f>
        <v>0</v>
      </c>
      <c r="J75" s="505">
        <f>SUM(J71:J74)</f>
        <v>0</v>
      </c>
      <c r="K75" s="118"/>
      <c r="L75" s="172"/>
      <c r="M75"/>
      <c r="N75"/>
    </row>
    <row r="76" spans="2:14">
      <c r="B76" s="738"/>
      <c r="C76" s="479"/>
      <c r="D76" s="479"/>
      <c r="E76" s="479"/>
      <c r="F76" s="76"/>
      <c r="G76" s="590"/>
      <c r="H76" s="590"/>
      <c r="I76" s="479"/>
      <c r="J76" s="506"/>
      <c r="K76" s="118"/>
      <c r="L76" s="172"/>
      <c r="M76"/>
      <c r="N76"/>
    </row>
    <row r="77" spans="2:14">
      <c r="B77" s="740">
        <v>0.47</v>
      </c>
      <c r="C77" s="499" t="s">
        <v>357</v>
      </c>
      <c r="D77" s="500">
        <f>$C$46*B77</f>
        <v>72991</v>
      </c>
      <c r="E77" s="118"/>
      <c r="G77" s="734"/>
      <c r="H77" s="734"/>
      <c r="I77" s="118"/>
      <c r="J77" s="507"/>
      <c r="K77" s="118"/>
      <c r="L77" s="172"/>
      <c r="M77"/>
      <c r="N77"/>
    </row>
    <row r="78" spans="2:14" ht="30">
      <c r="B78" s="741" t="s">
        <v>358</v>
      </c>
      <c r="C78" s="497" t="s">
        <v>349</v>
      </c>
      <c r="D78" s="501" t="s">
        <v>350</v>
      </c>
      <c r="E78" s="95" t="s">
        <v>370</v>
      </c>
      <c r="F78" s="732" t="s">
        <v>351</v>
      </c>
      <c r="G78" s="592" t="s">
        <v>352</v>
      </c>
      <c r="H78" s="591" t="s">
        <v>353</v>
      </c>
      <c r="I78" s="496" t="s">
        <v>355</v>
      </c>
      <c r="J78" s="503" t="s">
        <v>356</v>
      </c>
      <c r="L78" s="172"/>
      <c r="M78"/>
      <c r="N78"/>
    </row>
    <row r="79" spans="2:14">
      <c r="B79" s="742" t="s">
        <v>342</v>
      </c>
      <c r="C79" s="497">
        <v>1</v>
      </c>
      <c r="D79" s="502">
        <v>0.6</v>
      </c>
      <c r="E79" s="498">
        <f>$D$77*D79</f>
        <v>43794.6</v>
      </c>
      <c r="F79" s="612">
        <f>'AMI &amp; Rent'!E48</f>
        <v>1095</v>
      </c>
      <c r="G79" s="589">
        <f>G63</f>
        <v>-85</v>
      </c>
      <c r="H79" s="733">
        <f>F79+G79</f>
        <v>1010</v>
      </c>
      <c r="I79" s="639"/>
      <c r="J79" s="505">
        <f>H79*I79*12</f>
        <v>0</v>
      </c>
      <c r="L79" s="172"/>
      <c r="M79"/>
      <c r="N79"/>
    </row>
    <row r="80" spans="2:14">
      <c r="B80" s="742" t="s">
        <v>344</v>
      </c>
      <c r="C80" s="497">
        <v>1.5</v>
      </c>
      <c r="D80" s="502">
        <v>0.75</v>
      </c>
      <c r="E80" s="498">
        <f>$D$77*D80</f>
        <v>54743.25</v>
      </c>
      <c r="F80" s="612">
        <f>'AMI &amp; Rent'!E49</f>
        <v>1369</v>
      </c>
      <c r="G80" s="589">
        <f>G64</f>
        <v>-97</v>
      </c>
      <c r="H80" s="733">
        <f>F80+G80</f>
        <v>1272</v>
      </c>
      <c r="I80" s="639"/>
      <c r="J80" s="505">
        <f>H80*I80*12</f>
        <v>0</v>
      </c>
      <c r="L80" s="172"/>
      <c r="M80"/>
      <c r="N80"/>
    </row>
    <row r="81" spans="2:14">
      <c r="B81" s="742" t="s">
        <v>346</v>
      </c>
      <c r="C81" s="497">
        <v>3</v>
      </c>
      <c r="D81" s="502">
        <v>0.9</v>
      </c>
      <c r="E81" s="498">
        <f>$D$77*D81</f>
        <v>65691.900000000009</v>
      </c>
      <c r="F81" s="612">
        <f>'AMI &amp; Rent'!E50</f>
        <v>1642</v>
      </c>
      <c r="G81" s="589">
        <f>G65</f>
        <v>-128</v>
      </c>
      <c r="H81" s="733">
        <f>F81+G81</f>
        <v>1514</v>
      </c>
      <c r="I81" s="639"/>
      <c r="J81" s="505">
        <f>H81*I81*12</f>
        <v>0</v>
      </c>
      <c r="L81" s="172"/>
      <c r="M81"/>
      <c r="N81"/>
    </row>
    <row r="82" spans="2:14">
      <c r="B82" s="742" t="s">
        <v>348</v>
      </c>
      <c r="C82" s="497">
        <v>4.5</v>
      </c>
      <c r="D82" s="502">
        <v>1.04</v>
      </c>
      <c r="E82" s="498">
        <f>$D$77*D82</f>
        <v>75910.64</v>
      </c>
      <c r="F82" s="612">
        <f>'AMI &amp; Rent'!E51</f>
        <v>1898</v>
      </c>
      <c r="G82" s="589">
        <f>G66</f>
        <v>-159</v>
      </c>
      <c r="H82" s="733">
        <f>F82+G82</f>
        <v>1739</v>
      </c>
      <c r="I82" s="639"/>
      <c r="J82" s="505">
        <f>H82*I82*12</f>
        <v>0</v>
      </c>
      <c r="L82" s="172"/>
      <c r="M82"/>
      <c r="N82"/>
    </row>
    <row r="83" spans="2:14">
      <c r="B83" s="738"/>
      <c r="C83" s="118"/>
      <c r="D83" s="118"/>
      <c r="E83" s="118"/>
      <c r="G83" s="734"/>
      <c r="H83" s="734"/>
      <c r="I83" s="120">
        <f>SUM(I79:I82)</f>
        <v>0</v>
      </c>
      <c r="J83" s="505">
        <f>SUM(J79:J82)</f>
        <v>0</v>
      </c>
      <c r="K83" s="118"/>
      <c r="L83" s="172"/>
      <c r="M83"/>
      <c r="N83"/>
    </row>
    <row r="84" spans="2:14">
      <c r="B84" s="738"/>
      <c r="C84" s="479"/>
      <c r="D84" s="479"/>
      <c r="E84" s="479"/>
      <c r="F84" s="76"/>
      <c r="G84" s="590"/>
      <c r="H84" s="590"/>
      <c r="I84" s="479"/>
      <c r="J84" s="506"/>
      <c r="K84" s="118"/>
      <c r="L84" s="172"/>
      <c r="M84"/>
      <c r="N84"/>
    </row>
    <row r="85" spans="2:14">
      <c r="B85" s="740">
        <v>0.56999999999999995</v>
      </c>
      <c r="C85" s="499" t="s">
        <v>357</v>
      </c>
      <c r="D85" s="500">
        <f>$C$46*B85</f>
        <v>88520.999999999985</v>
      </c>
      <c r="E85" s="118"/>
      <c r="G85" s="734"/>
      <c r="H85" s="734"/>
      <c r="I85" s="118"/>
      <c r="J85" s="507"/>
      <c r="K85" s="118"/>
      <c r="L85" s="172"/>
      <c r="M85"/>
      <c r="N85"/>
    </row>
    <row r="86" spans="2:14" ht="30">
      <c r="B86" s="741" t="s">
        <v>358</v>
      </c>
      <c r="C86" s="497" t="s">
        <v>349</v>
      </c>
      <c r="D86" s="501" t="s">
        <v>350</v>
      </c>
      <c r="E86" s="95" t="s">
        <v>370</v>
      </c>
      <c r="F86" s="732" t="s">
        <v>351</v>
      </c>
      <c r="G86" s="592" t="s">
        <v>352</v>
      </c>
      <c r="H86" s="591" t="s">
        <v>353</v>
      </c>
      <c r="I86" s="496" t="s">
        <v>355</v>
      </c>
      <c r="J86" s="503" t="s">
        <v>356</v>
      </c>
      <c r="L86" s="172"/>
      <c r="M86"/>
      <c r="N86"/>
    </row>
    <row r="87" spans="2:14">
      <c r="B87" s="742" t="s">
        <v>342</v>
      </c>
      <c r="C87" s="497">
        <v>1</v>
      </c>
      <c r="D87" s="502">
        <v>0.6</v>
      </c>
      <c r="E87" s="498">
        <f>$D$85*D87</f>
        <v>53112.599999999991</v>
      </c>
      <c r="F87" s="612">
        <f>'AMI &amp; Rent'!E61</f>
        <v>1328</v>
      </c>
      <c r="G87" s="589">
        <f>G63</f>
        <v>-85</v>
      </c>
      <c r="H87" s="733">
        <f>F87+G87</f>
        <v>1243</v>
      </c>
      <c r="I87" s="639"/>
      <c r="J87" s="505">
        <f>H87*I87*12</f>
        <v>0</v>
      </c>
      <c r="L87" s="172"/>
      <c r="M87"/>
      <c r="N87"/>
    </row>
    <row r="88" spans="2:14">
      <c r="B88" s="742" t="s">
        <v>344</v>
      </c>
      <c r="C88" s="497">
        <v>1.5</v>
      </c>
      <c r="D88" s="502">
        <v>0.75</v>
      </c>
      <c r="E88" s="498">
        <f>$D$85*D88</f>
        <v>66390.749999999985</v>
      </c>
      <c r="F88" s="612">
        <f>'AMI &amp; Rent'!E62</f>
        <v>1660</v>
      </c>
      <c r="G88" s="589">
        <f>G64</f>
        <v>-97</v>
      </c>
      <c r="H88" s="733">
        <f>F88+G88</f>
        <v>1563</v>
      </c>
      <c r="I88" s="639"/>
      <c r="J88" s="505">
        <f>H88*I88*12</f>
        <v>0</v>
      </c>
      <c r="L88" s="172"/>
      <c r="M88"/>
      <c r="N88"/>
    </row>
    <row r="89" spans="2:14">
      <c r="B89" s="742" t="s">
        <v>346</v>
      </c>
      <c r="C89" s="497">
        <v>3</v>
      </c>
      <c r="D89" s="502">
        <v>0.9</v>
      </c>
      <c r="E89" s="498">
        <f>$D$85*D89</f>
        <v>79668.899999999994</v>
      </c>
      <c r="F89" s="612">
        <f>'AMI &amp; Rent'!E63</f>
        <v>1992</v>
      </c>
      <c r="G89" s="589">
        <f>G65</f>
        <v>-128</v>
      </c>
      <c r="H89" s="733">
        <f>F89+G89</f>
        <v>1864</v>
      </c>
      <c r="I89" s="639"/>
      <c r="J89" s="505">
        <f>H89*I89*12</f>
        <v>0</v>
      </c>
      <c r="L89" s="172"/>
      <c r="M89"/>
      <c r="N89"/>
    </row>
    <row r="90" spans="2:14">
      <c r="B90" s="742" t="s">
        <v>348</v>
      </c>
      <c r="C90" s="497">
        <v>4.5</v>
      </c>
      <c r="D90" s="502">
        <v>1.04</v>
      </c>
      <c r="E90" s="498">
        <f>$D$85*D90</f>
        <v>92061.839999999982</v>
      </c>
      <c r="F90" s="612">
        <f>'AMI &amp; Rent'!E64</f>
        <v>2302</v>
      </c>
      <c r="G90" s="589">
        <f>G66</f>
        <v>-159</v>
      </c>
      <c r="H90" s="733">
        <f>F90+G90</f>
        <v>2143</v>
      </c>
      <c r="I90" s="639"/>
      <c r="J90" s="505">
        <f>H90*I90*12</f>
        <v>0</v>
      </c>
      <c r="L90" s="172"/>
      <c r="M90"/>
      <c r="N90"/>
    </row>
    <row r="91" spans="2:14">
      <c r="B91" s="738"/>
      <c r="C91" s="118"/>
      <c r="D91" s="118"/>
      <c r="E91" s="118"/>
      <c r="G91" s="734"/>
      <c r="H91" s="734"/>
      <c r="I91" s="120">
        <f>SUM(I87:I90)</f>
        <v>0</v>
      </c>
      <c r="J91" s="505">
        <f>SUM(J87:J90)</f>
        <v>0</v>
      </c>
      <c r="K91" s="118"/>
      <c r="L91" s="172"/>
      <c r="M91"/>
      <c r="N91"/>
    </row>
    <row r="92" spans="2:14">
      <c r="B92" s="738"/>
      <c r="C92" s="479"/>
      <c r="D92" s="479"/>
      <c r="E92" s="479"/>
      <c r="F92" s="76"/>
      <c r="G92" s="590"/>
      <c r="H92" s="590"/>
      <c r="I92" s="479"/>
      <c r="J92" s="506"/>
      <c r="K92" s="118"/>
      <c r="L92" s="172"/>
      <c r="M92"/>
      <c r="N92"/>
    </row>
    <row r="93" spans="2:14">
      <c r="B93" s="740">
        <v>0.8</v>
      </c>
      <c r="C93" s="499" t="s">
        <v>357</v>
      </c>
      <c r="D93" s="500">
        <f>$C$46*B93</f>
        <v>124240</v>
      </c>
      <c r="E93" s="118"/>
      <c r="G93" s="734"/>
      <c r="H93" s="734"/>
      <c r="I93" s="118"/>
      <c r="J93" s="507"/>
      <c r="K93" s="118"/>
      <c r="L93" s="172"/>
      <c r="M93"/>
      <c r="N93"/>
    </row>
    <row r="94" spans="2:14" ht="30">
      <c r="B94" s="741" t="s">
        <v>358</v>
      </c>
      <c r="C94" s="497" t="s">
        <v>349</v>
      </c>
      <c r="D94" s="501" t="s">
        <v>350</v>
      </c>
      <c r="E94" s="95" t="s">
        <v>370</v>
      </c>
      <c r="F94" s="732" t="s">
        <v>351</v>
      </c>
      <c r="G94" s="592" t="s">
        <v>352</v>
      </c>
      <c r="H94" s="591" t="s">
        <v>353</v>
      </c>
      <c r="I94" s="496" t="s">
        <v>355</v>
      </c>
      <c r="J94" s="503" t="s">
        <v>356</v>
      </c>
      <c r="L94" s="172"/>
      <c r="M94"/>
      <c r="N94"/>
    </row>
    <row r="95" spans="2:14">
      <c r="B95" s="742" t="s">
        <v>342</v>
      </c>
      <c r="C95" s="497">
        <v>1</v>
      </c>
      <c r="D95" s="502">
        <v>0.6</v>
      </c>
      <c r="E95" s="498">
        <f>$D$93*D95</f>
        <v>74544</v>
      </c>
      <c r="F95" s="612">
        <f>'AMI &amp; Rent'!E74</f>
        <v>1864</v>
      </c>
      <c r="G95" s="589">
        <f>G63</f>
        <v>-85</v>
      </c>
      <c r="H95" s="733">
        <f>F95+G95</f>
        <v>1779</v>
      </c>
      <c r="I95" s="639"/>
      <c r="J95" s="505">
        <f>H95*I95*12</f>
        <v>0</v>
      </c>
      <c r="L95" s="172"/>
      <c r="M95"/>
      <c r="N95"/>
    </row>
    <row r="96" spans="2:14">
      <c r="B96" s="742" t="s">
        <v>344</v>
      </c>
      <c r="C96" s="497">
        <v>1.5</v>
      </c>
      <c r="D96" s="502">
        <v>0.75</v>
      </c>
      <c r="E96" s="498">
        <f>$D$93*D96</f>
        <v>93180</v>
      </c>
      <c r="F96" s="612">
        <f>'AMI &amp; Rent'!E75</f>
        <v>2331</v>
      </c>
      <c r="G96" s="589">
        <f>G64</f>
        <v>-97</v>
      </c>
      <c r="H96" s="733">
        <f>F96+G96</f>
        <v>2234</v>
      </c>
      <c r="I96" s="639"/>
      <c r="J96" s="505">
        <f>H96*I96*12</f>
        <v>0</v>
      </c>
      <c r="L96" s="172"/>
      <c r="M96"/>
      <c r="N96"/>
    </row>
    <row r="97" spans="2:14">
      <c r="B97" s="742" t="s">
        <v>346</v>
      </c>
      <c r="C97" s="497">
        <v>3</v>
      </c>
      <c r="D97" s="502">
        <v>0.9</v>
      </c>
      <c r="E97" s="498">
        <f>$D$93*D97</f>
        <v>111816</v>
      </c>
      <c r="F97" s="612">
        <f>'AMI &amp; Rent'!E76</f>
        <v>2796</v>
      </c>
      <c r="G97" s="589">
        <f>G65</f>
        <v>-128</v>
      </c>
      <c r="H97" s="733">
        <f>F97+G97</f>
        <v>2668</v>
      </c>
      <c r="I97" s="639"/>
      <c r="J97" s="505">
        <f>H97*I97*12</f>
        <v>0</v>
      </c>
      <c r="L97" s="172"/>
      <c r="M97"/>
      <c r="N97"/>
    </row>
    <row r="98" spans="2:14">
      <c r="B98" s="742" t="s">
        <v>348</v>
      </c>
      <c r="C98" s="497">
        <v>4.5</v>
      </c>
      <c r="D98" s="502">
        <v>1.04</v>
      </c>
      <c r="E98" s="498">
        <f>$D$93*D98</f>
        <v>129209.60000000001</v>
      </c>
      <c r="F98" s="612">
        <f>'AMI &amp; Rent'!E77</f>
        <v>3231</v>
      </c>
      <c r="G98" s="589">
        <f>G66</f>
        <v>-159</v>
      </c>
      <c r="H98" s="733">
        <f>F98+G98</f>
        <v>3072</v>
      </c>
      <c r="I98" s="639"/>
      <c r="J98" s="505">
        <f>H98*I98*12</f>
        <v>0</v>
      </c>
      <c r="L98" s="172"/>
      <c r="M98"/>
      <c r="N98"/>
    </row>
    <row r="99" spans="2:14">
      <c r="B99" s="738"/>
      <c r="C99" s="118"/>
      <c r="D99" s="118"/>
      <c r="E99" s="118"/>
      <c r="G99" s="734"/>
      <c r="H99" s="734"/>
      <c r="I99" s="120">
        <f>SUM(I95:I98)</f>
        <v>0</v>
      </c>
      <c r="J99" s="505">
        <f>SUM(J95:J98)</f>
        <v>0</v>
      </c>
      <c r="K99" s="118"/>
      <c r="L99" s="172"/>
      <c r="M99"/>
      <c r="N99"/>
    </row>
    <row r="100" spans="2:14">
      <c r="B100" s="738"/>
      <c r="C100" s="479"/>
      <c r="D100" s="479"/>
      <c r="E100" s="479"/>
      <c r="F100" s="76"/>
      <c r="G100" s="590"/>
      <c r="H100" s="590"/>
      <c r="I100" s="479"/>
      <c r="J100" s="506"/>
      <c r="K100" s="118"/>
      <c r="L100" s="172"/>
      <c r="M100"/>
      <c r="N100"/>
    </row>
    <row r="101" spans="2:14">
      <c r="B101" s="740">
        <v>1</v>
      </c>
      <c r="C101" s="499" t="s">
        <v>357</v>
      </c>
      <c r="D101" s="500">
        <f>$C$46*B101</f>
        <v>155300</v>
      </c>
      <c r="E101" s="118"/>
      <c r="G101" s="734"/>
      <c r="H101" s="734"/>
      <c r="I101" s="118"/>
      <c r="J101" s="507"/>
      <c r="K101" s="118"/>
      <c r="L101" s="172"/>
      <c r="M101"/>
      <c r="N101"/>
    </row>
    <row r="102" spans="2:14" ht="30">
      <c r="B102" s="741" t="s">
        <v>358</v>
      </c>
      <c r="C102" s="497" t="s">
        <v>349</v>
      </c>
      <c r="D102" s="501" t="s">
        <v>350</v>
      </c>
      <c r="E102" s="95" t="s">
        <v>370</v>
      </c>
      <c r="F102" s="732" t="s">
        <v>351</v>
      </c>
      <c r="G102" s="592" t="s">
        <v>352</v>
      </c>
      <c r="H102" s="591" t="s">
        <v>353</v>
      </c>
      <c r="I102" s="496" t="s">
        <v>355</v>
      </c>
      <c r="J102" s="503" t="s">
        <v>356</v>
      </c>
      <c r="L102" s="172"/>
      <c r="M102"/>
      <c r="N102"/>
    </row>
    <row r="103" spans="2:14">
      <c r="B103" s="742" t="s">
        <v>342</v>
      </c>
      <c r="C103" s="497">
        <v>1</v>
      </c>
      <c r="D103" s="502">
        <v>0.6</v>
      </c>
      <c r="E103" s="498">
        <f>$D$101*D103</f>
        <v>93180</v>
      </c>
      <c r="F103" s="612">
        <f>'AMI &amp; Rent'!E86</f>
        <v>2330</v>
      </c>
      <c r="G103" s="589">
        <f>G63</f>
        <v>-85</v>
      </c>
      <c r="H103" s="733">
        <f>F103+G103</f>
        <v>2245</v>
      </c>
      <c r="I103" s="639"/>
      <c r="J103" s="505">
        <f>H103*I103*12</f>
        <v>0</v>
      </c>
      <c r="L103" s="172"/>
      <c r="M103"/>
      <c r="N103"/>
    </row>
    <row r="104" spans="2:14">
      <c r="B104" s="742" t="s">
        <v>344</v>
      </c>
      <c r="C104" s="497">
        <v>1.5</v>
      </c>
      <c r="D104" s="502">
        <v>0.75</v>
      </c>
      <c r="E104" s="498">
        <f>$D$101*D104</f>
        <v>116475</v>
      </c>
      <c r="F104" s="612">
        <f>'AMI &amp; Rent'!E87</f>
        <v>2913</v>
      </c>
      <c r="G104" s="589">
        <f>G64</f>
        <v>-97</v>
      </c>
      <c r="H104" s="733">
        <f>F104+G104</f>
        <v>2816</v>
      </c>
      <c r="I104" s="639"/>
      <c r="J104" s="505">
        <f>H104*I104*12</f>
        <v>0</v>
      </c>
      <c r="L104" s="172"/>
      <c r="M104"/>
      <c r="N104"/>
    </row>
    <row r="105" spans="2:14">
      <c r="B105" s="742" t="s">
        <v>346</v>
      </c>
      <c r="C105" s="497">
        <v>3</v>
      </c>
      <c r="D105" s="502">
        <v>0.9</v>
      </c>
      <c r="E105" s="498">
        <f>$D$101*D105</f>
        <v>139770</v>
      </c>
      <c r="F105" s="612">
        <f>'AMI &amp; Rent'!E88</f>
        <v>3495</v>
      </c>
      <c r="G105" s="589">
        <f>G65</f>
        <v>-128</v>
      </c>
      <c r="H105" s="733">
        <f>F105+G105</f>
        <v>3367</v>
      </c>
      <c r="I105" s="639"/>
      <c r="J105" s="505">
        <f>H105*I105*12</f>
        <v>0</v>
      </c>
      <c r="L105" s="172"/>
      <c r="M105"/>
      <c r="N105"/>
    </row>
    <row r="106" spans="2:14">
      <c r="B106" s="742" t="s">
        <v>348</v>
      </c>
      <c r="C106" s="497">
        <v>4.5</v>
      </c>
      <c r="D106" s="502">
        <v>1.04</v>
      </c>
      <c r="E106" s="498">
        <f>$D$101*D106</f>
        <v>161512</v>
      </c>
      <c r="F106" s="612">
        <f>'AMI &amp; Rent'!E89</f>
        <v>4038</v>
      </c>
      <c r="G106" s="589">
        <f>G66</f>
        <v>-159</v>
      </c>
      <c r="H106" s="733">
        <f>F106+G106</f>
        <v>3879</v>
      </c>
      <c r="I106" s="639"/>
      <c r="J106" s="505">
        <f>H106*I106*12</f>
        <v>0</v>
      </c>
      <c r="L106" s="172"/>
      <c r="M106"/>
      <c r="N106"/>
    </row>
    <row r="107" spans="2:14">
      <c r="B107" s="738"/>
      <c r="C107" s="118"/>
      <c r="D107" s="118"/>
      <c r="E107" s="118"/>
      <c r="G107" s="734"/>
      <c r="H107" s="734"/>
      <c r="I107" s="120">
        <f>SUM(I103:I106)</f>
        <v>0</v>
      </c>
      <c r="J107" s="505">
        <f>SUM(J103:J106)</f>
        <v>0</v>
      </c>
      <c r="K107" s="118"/>
      <c r="L107" s="172"/>
      <c r="M107"/>
      <c r="N107"/>
    </row>
    <row r="108" spans="2:14">
      <c r="B108" s="743" t="s">
        <v>376</v>
      </c>
      <c r="C108" s="172"/>
      <c r="D108" s="172"/>
      <c r="E108" s="118"/>
      <c r="G108" s="118"/>
      <c r="H108" s="118"/>
      <c r="I108" s="118"/>
      <c r="J108" s="507"/>
      <c r="L108" s="172"/>
      <c r="M108"/>
      <c r="N108"/>
    </row>
    <row r="109" spans="2:14">
      <c r="B109" s="741" t="s">
        <v>358</v>
      </c>
      <c r="C109" s="497"/>
      <c r="D109" s="501"/>
      <c r="F109" s="732"/>
      <c r="G109" s="496"/>
      <c r="H109" s="496" t="s">
        <v>3</v>
      </c>
      <c r="I109" s="496" t="s">
        <v>355</v>
      </c>
      <c r="J109" s="503" t="s">
        <v>356</v>
      </c>
      <c r="L109" s="172"/>
      <c r="M109"/>
      <c r="N109"/>
    </row>
    <row r="110" spans="2:14">
      <c r="B110" s="742" t="s">
        <v>342</v>
      </c>
      <c r="C110" s="538"/>
      <c r="D110" s="539"/>
      <c r="E110" s="540"/>
      <c r="F110" s="736"/>
      <c r="G110" s="736"/>
      <c r="H110" s="516"/>
      <c r="I110" s="639"/>
      <c r="J110" s="505">
        <f>I110*12*H110</f>
        <v>0</v>
      </c>
      <c r="L110" s="172"/>
      <c r="M110"/>
      <c r="N110"/>
    </row>
    <row r="111" spans="2:14">
      <c r="B111" s="742" t="s">
        <v>344</v>
      </c>
      <c r="C111" s="538"/>
      <c r="D111" s="539"/>
      <c r="E111" s="540"/>
      <c r="F111" s="736"/>
      <c r="G111" s="736"/>
      <c r="H111" s="516"/>
      <c r="I111" s="639"/>
      <c r="J111" s="505">
        <f>I111*12*H111</f>
        <v>0</v>
      </c>
      <c r="L111" s="172"/>
      <c r="M111"/>
      <c r="N111"/>
    </row>
    <row r="112" spans="2:14">
      <c r="B112" s="742" t="s">
        <v>346</v>
      </c>
      <c r="C112" s="538"/>
      <c r="D112" s="539"/>
      <c r="E112" s="540"/>
      <c r="F112" s="736"/>
      <c r="G112" s="736"/>
      <c r="H112" s="516"/>
      <c r="I112" s="639"/>
      <c r="J112" s="505">
        <f>I112*12*H112</f>
        <v>0</v>
      </c>
      <c r="L112" s="172"/>
      <c r="M112"/>
      <c r="N112"/>
    </row>
    <row r="113" spans="2:21">
      <c r="B113" s="742" t="s">
        <v>348</v>
      </c>
      <c r="C113" s="538"/>
      <c r="D113" s="539"/>
      <c r="E113" s="540"/>
      <c r="F113" s="736"/>
      <c r="G113" s="736"/>
      <c r="H113" s="516"/>
      <c r="I113" s="639"/>
      <c r="J113" s="505">
        <f>I113*12*H113</f>
        <v>0</v>
      </c>
      <c r="L113" s="172"/>
      <c r="M113"/>
      <c r="N113"/>
    </row>
    <row r="114" spans="2:21">
      <c r="B114" s="742"/>
      <c r="C114" s="497"/>
      <c r="D114" s="502"/>
      <c r="E114" s="498"/>
      <c r="F114" s="612"/>
      <c r="G114" s="612"/>
      <c r="H114" s="172"/>
      <c r="I114" s="379"/>
      <c r="J114" s="505">
        <f>SUM(J110:J113)</f>
        <v>0</v>
      </c>
      <c r="L114" s="172"/>
      <c r="M114"/>
      <c r="N114"/>
    </row>
    <row r="115" spans="2:21">
      <c r="B115" s="311"/>
      <c r="C115" s="172"/>
      <c r="D115" s="172"/>
      <c r="E115" s="118"/>
      <c r="G115" s="118"/>
      <c r="H115" s="737" t="s">
        <v>359</v>
      </c>
      <c r="I115" s="118">
        <f>SUM(I59,I67,I75,I83,I91,I99,I107)</f>
        <v>0</v>
      </c>
      <c r="J115" s="507"/>
      <c r="K115" s="118"/>
      <c r="L115" s="172"/>
      <c r="M115"/>
      <c r="N115"/>
    </row>
    <row r="116" spans="2:21">
      <c r="B116" s="738"/>
      <c r="C116" s="118"/>
      <c r="D116" s="118"/>
      <c r="E116" s="118"/>
      <c r="G116" s="118"/>
      <c r="H116" s="737"/>
      <c r="I116" s="118"/>
      <c r="J116" s="507"/>
      <c r="K116" s="118"/>
      <c r="L116" s="172"/>
      <c r="M116"/>
      <c r="N116"/>
      <c r="O116" s="217"/>
      <c r="P116" s="217"/>
    </row>
    <row r="117" spans="2:21">
      <c r="B117" s="738"/>
      <c r="I117" s="746" t="s">
        <v>247</v>
      </c>
      <c r="J117" s="536">
        <f>SUM(J59,J67,J75,J83,J91,J99,J107,J114)</f>
        <v>0</v>
      </c>
      <c r="L117" s="172"/>
      <c r="M117"/>
      <c r="N117"/>
      <c r="O117" s="217"/>
      <c r="P117" s="217"/>
    </row>
    <row r="118" spans="2:21">
      <c r="B118" s="280"/>
      <c r="C118" s="217"/>
      <c r="D118" s="217"/>
      <c r="E118" s="217"/>
      <c r="F118" s="217"/>
      <c r="G118" s="217"/>
      <c r="H118" s="217"/>
      <c r="I118" s="217"/>
      <c r="J118" s="272"/>
      <c r="L118" s="172"/>
      <c r="M118"/>
      <c r="N118"/>
      <c r="O118" s="217"/>
      <c r="P118" s="217"/>
      <c r="Q118" s="167"/>
      <c r="R118" s="167"/>
      <c r="S118" s="204"/>
      <c r="T118" s="94"/>
      <c r="U118" s="373"/>
    </row>
    <row r="119" spans="2:21">
      <c r="B119" s="744"/>
      <c r="C119" s="366"/>
      <c r="D119" s="366"/>
      <c r="E119" s="366"/>
      <c r="F119" s="277"/>
      <c r="G119" s="243"/>
      <c r="H119" s="277"/>
      <c r="I119" s="504" t="s">
        <v>125</v>
      </c>
      <c r="J119" s="537">
        <f>J117+E41</f>
        <v>0</v>
      </c>
    </row>
  </sheetData>
  <customSheetViews>
    <customSheetView guid="{560D4AFA-61E5-46C3-B0CD-D0EB3053A033}" scale="75" colorId="22" showPageBreaks="1" fitToPage="1" printArea="1" showRuler="0" topLeftCell="A4">
      <selection activeCell="B5" sqref="B5"/>
      <pageMargins left="0.75" right="0.5" top="0.75" bottom="0.5" header="0.5" footer="0.5"/>
      <pageSetup scale="66" orientation="portrait" r:id="rId1"/>
      <headerFooter alignWithMargins="0"/>
    </customSheetView>
    <customSheetView guid="{1ECE83C7-A3CE-4F97-BFD3-498FF783C0D9}" scale="75" colorId="22" showPageBreaks="1" fitToPage="1" printArea="1" showRuler="0">
      <selection activeCell="H29" sqref="H29"/>
      <pageMargins left="0.75" right="0.5" top="0.75" bottom="0.5" header="0.5" footer="0.5"/>
      <pageSetup scale="75" orientation="portrait" r:id="rId2"/>
      <headerFooter alignWithMargins="0"/>
    </customSheetView>
    <customSheetView guid="{6EF643BE-69F3-424E-8A44-3890161370D4}" scale="87" colorId="22" showPageBreaks="1" fitToPage="1" printArea="1" showRuler="0" topLeftCell="A40">
      <selection activeCell="D42" sqref="D42"/>
      <pageMargins left="0.5" right="0.5" top="0.5" bottom="0.5" header="0.5" footer="0.5"/>
      <pageSetup scale="77" orientation="portrait" r:id="rId3"/>
      <headerFooter alignWithMargins="0"/>
    </customSheetView>
    <customSheetView guid="{FBB4BF8E-8A9F-4E98-A6F9-5F9BF4C55C67}" scale="87" colorId="22" showPageBreaks="1" fitToPage="1" printArea="1" showRuler="0" topLeftCell="A14">
      <selection activeCell="C29" sqref="C29"/>
      <pageMargins left="0.5" right="0.5" top="0.5" bottom="0.5" header="0.5" footer="0.5"/>
      <pageSetup scale="80" orientation="portrait" r:id="rId4"/>
      <headerFooter alignWithMargins="0"/>
    </customSheetView>
    <customSheetView guid="{EB776EFC-3589-4DB5-BEAF-1E83D9703F9E}" scale="87" colorId="22" fitToPage="1" showRuler="0" topLeftCell="A38">
      <selection activeCell="A59" sqref="A59"/>
      <pageMargins left="0.5" right="0.5" top="0.5" bottom="0.5" header="0.5" footer="0.5"/>
      <pageSetup scale="80" orientation="portrait" r:id="rId5"/>
      <headerFooter alignWithMargins="0"/>
    </customSheetView>
    <customSheetView guid="{AEA5979F-5357-4ED6-A6CA-1BB80F5C7A74}" scale="87" colorId="22" showPageBreaks="1" fitToPage="1" printArea="1" showRuler="0" topLeftCell="A10">
      <selection activeCell="B28" sqref="B28"/>
      <pageMargins left="0.5" right="0.5" top="0.5" bottom="0.5" header="0.5" footer="0.5"/>
      <pageSetup scale="77" orientation="portrait" r:id="rId6"/>
      <headerFooter alignWithMargins="0"/>
    </customSheetView>
    <customSheetView guid="{28F81D13-D146-4D67-8981-BA5D7A496326}" scale="87" colorId="22" showPageBreaks="1" fitToPage="1" printArea="1" showRuler="0" topLeftCell="A37">
      <selection activeCell="C33" sqref="C33"/>
      <pageMargins left="0.5" right="0.5" top="0.5" bottom="0.5" header="0.5" footer="0.5"/>
      <pageSetup scale="77" orientation="portrait" r:id="rId7"/>
      <headerFooter alignWithMargins="0"/>
    </customSheetView>
    <customSheetView guid="{25C4E7E7-1006-4A2D-BC83-AEE4ADF8A914}" scale="75" colorId="22" showPageBreaks="1" fitToPage="1" printArea="1" showRuler="0" topLeftCell="A28">
      <selection activeCell="F39" sqref="F39"/>
      <pageMargins left="0.75" right="0.5" top="0.75" bottom="0.5" header="0.5" footer="0.5"/>
      <pageSetup scale="68" orientation="portrait" r:id="rId8"/>
      <headerFooter alignWithMargins="0"/>
    </customSheetView>
  </customSheetViews>
  <mergeCells count="3">
    <mergeCell ref="V45:W45"/>
    <mergeCell ref="B49:B50"/>
    <mergeCell ref="C49:D50"/>
  </mergeCells>
  <phoneticPr fontId="0" type="noConversion"/>
  <dataValidations count="1">
    <dataValidation type="list" allowBlank="1" showInputMessage="1" showErrorMessage="1" sqref="C49" xr:uid="{00000000-0002-0000-0400-000000000000}">
      <formula1>$AC$46:$AC$50</formula1>
    </dataValidation>
  </dataValidations>
  <pageMargins left="0.75" right="0.5" top="0.75" bottom="0.5" header="0.5" footer="0.5"/>
  <pageSetup scale="35" firstPageNumber="209" orientation="portrait" useFirstPageNumber="1"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fitToPage="1"/>
  </sheetPr>
  <dimension ref="A1:O54"/>
  <sheetViews>
    <sheetView defaultGridColor="0" topLeftCell="A9" colorId="22" zoomScale="80" zoomScaleNormal="80" zoomScaleSheetLayoutView="100" workbookViewId="0">
      <selection activeCell="C12" sqref="C12"/>
    </sheetView>
  </sheetViews>
  <sheetFormatPr defaultColWidth="9.77734375" defaultRowHeight="15"/>
  <cols>
    <col min="1" max="1" width="26.6640625" style="172" customWidth="1"/>
    <col min="2" max="2" width="11.6640625" style="172" customWidth="1"/>
    <col min="3" max="3" width="14.21875" style="172" customWidth="1"/>
    <col min="4" max="4" width="9.5546875" style="172" customWidth="1"/>
    <col min="5" max="5" width="16.33203125" style="172" bestFit="1" customWidth="1"/>
    <col min="6" max="6" width="8.21875" style="172" customWidth="1"/>
    <col min="7" max="7" width="37.5546875" style="172" customWidth="1"/>
    <col min="8" max="8" width="17.88671875" style="172" customWidth="1"/>
    <col min="9" max="9" width="14.6640625" style="172" customWidth="1"/>
    <col min="10" max="10" width="5.88671875" style="172" customWidth="1"/>
    <col min="11" max="11" width="34" style="172" customWidth="1"/>
    <col min="12" max="12" width="15.77734375" style="172" bestFit="1" customWidth="1"/>
    <col min="13" max="13" width="10.6640625" style="172" customWidth="1"/>
    <col min="14" max="14" width="19.5546875" style="172" customWidth="1"/>
    <col min="15" max="16384" width="9.77734375" style="172"/>
  </cols>
  <sheetData>
    <row r="1" spans="1:13">
      <c r="A1" s="75" t="str">
        <f>'Cons Int &amp; Neg Arb'!A1</f>
        <v xml:space="preserve">Project Name: </v>
      </c>
      <c r="B1" s="28"/>
      <c r="D1" s="31"/>
      <c r="E1" s="31"/>
      <c r="F1" s="28"/>
      <c r="G1" s="28"/>
      <c r="H1" s="28"/>
    </row>
    <row r="2" spans="1:13">
      <c r="A2" s="75" t="str">
        <f>'Cons Int &amp; Neg Arb'!A2</f>
        <v>Site:</v>
      </c>
      <c r="B2" s="28"/>
      <c r="D2" s="31" t="str">
        <f>'Sources and Use'!C2</f>
        <v>Units:</v>
      </c>
      <c r="E2" s="115">
        <f>'Units &amp; Income'!C23</f>
        <v>0</v>
      </c>
      <c r="F2" s="28"/>
      <c r="G2" s="28"/>
      <c r="H2" s="28"/>
    </row>
    <row r="3" spans="1:13">
      <c r="A3" s="75"/>
      <c r="B3" s="28"/>
      <c r="F3" s="28"/>
      <c r="G3" s="28"/>
      <c r="H3" s="28"/>
    </row>
    <row r="4" spans="1:13">
      <c r="A4" s="75"/>
      <c r="B4" s="28"/>
      <c r="F4" s="28"/>
      <c r="G4" s="28"/>
      <c r="H4" s="28"/>
    </row>
    <row r="5" spans="1:13">
      <c r="A5" s="347" t="s">
        <v>129</v>
      </c>
      <c r="B5" s="28"/>
      <c r="C5" s="28"/>
      <c r="D5" s="649">
        <f>'Units &amp; Income'!C23</f>
        <v>0</v>
      </c>
      <c r="E5" s="411" t="s">
        <v>60</v>
      </c>
      <c r="F5" s="28"/>
      <c r="G5" s="28"/>
      <c r="H5" s="28"/>
    </row>
    <row r="6" spans="1:13">
      <c r="B6" s="348"/>
      <c r="C6" s="348"/>
      <c r="D6" s="649">
        <f>'Units &amp; Income'!E23</f>
        <v>0</v>
      </c>
      <c r="E6" s="411" t="s">
        <v>61</v>
      </c>
      <c r="F6" s="28"/>
      <c r="G6" s="28"/>
      <c r="H6" s="28"/>
    </row>
    <row r="7" spans="1:13" ht="15.4" thickBot="1">
      <c r="A7" s="323"/>
      <c r="B7" s="323"/>
      <c r="C7" s="323"/>
      <c r="D7" s="323"/>
      <c r="E7" s="323"/>
    </row>
    <row r="8" spans="1:13" s="656" customFormat="1" ht="18" customHeight="1" thickTop="1">
      <c r="A8" s="820" t="s">
        <v>66</v>
      </c>
      <c r="B8" s="652"/>
      <c r="C8" s="653"/>
      <c r="D8" s="747" t="s">
        <v>59</v>
      </c>
      <c r="E8" s="654"/>
      <c r="F8" s="655"/>
      <c r="G8" s="908" t="s">
        <v>533</v>
      </c>
      <c r="H8" s="909"/>
      <c r="I8" s="910"/>
    </row>
    <row r="9" spans="1:13" s="656" customFormat="1" ht="18" customHeight="1">
      <c r="A9" s="819" t="s">
        <v>535</v>
      </c>
      <c r="B9" s="655"/>
      <c r="C9" s="815"/>
      <c r="D9" s="826"/>
      <c r="E9" s="658"/>
      <c r="F9" s="655"/>
      <c r="G9" s="839" t="str">
        <f>A9</f>
        <v>ADMINISTRATIVE</v>
      </c>
      <c r="H9" s="816"/>
      <c r="I9" s="817"/>
    </row>
    <row r="10" spans="1:13" s="656" customFormat="1" ht="18" customHeight="1">
      <c r="A10" s="657" t="s">
        <v>195</v>
      </c>
      <c r="B10" s="655"/>
      <c r="C10" s="821">
        <f>D10*$D$5</f>
        <v>0</v>
      </c>
      <c r="D10" s="749"/>
      <c r="E10" s="658" t="s">
        <v>18</v>
      </c>
      <c r="F10" s="659"/>
      <c r="G10" s="657" t="str">
        <f>A10</f>
        <v xml:space="preserve">Legal </v>
      </c>
      <c r="H10" s="758">
        <v>240</v>
      </c>
      <c r="I10" s="759" t="str">
        <f>E10</f>
        <v>per unit</v>
      </c>
      <c r="M10" s="846"/>
    </row>
    <row r="11" spans="1:13" s="656" customFormat="1" ht="18" customHeight="1">
      <c r="A11" s="657" t="s">
        <v>44</v>
      </c>
      <c r="B11" s="655"/>
      <c r="C11" s="821">
        <f>D11</f>
        <v>0</v>
      </c>
      <c r="D11" s="748"/>
      <c r="E11" s="658" t="s">
        <v>196</v>
      </c>
      <c r="F11" s="659"/>
      <c r="G11" s="657" t="str">
        <f t="shared" ref="G11:G24" si="0">A11</f>
        <v>Accounting</v>
      </c>
      <c r="H11" s="758">
        <v>19000</v>
      </c>
      <c r="I11" s="759" t="str">
        <f>E11</f>
        <v>per project</v>
      </c>
    </row>
    <row r="12" spans="1:13" s="656" customFormat="1" ht="18" customHeight="1">
      <c r="A12" s="657" t="s">
        <v>506</v>
      </c>
      <c r="B12" s="655"/>
      <c r="C12" s="821">
        <f>D12*Mort!D11</f>
        <v>0</v>
      </c>
      <c r="D12" s="748"/>
      <c r="E12" s="658" t="s">
        <v>183</v>
      </c>
      <c r="F12" s="659"/>
      <c r="G12" s="657" t="s">
        <v>506</v>
      </c>
      <c r="H12" s="845" t="s">
        <v>559</v>
      </c>
      <c r="I12" s="759" t="str">
        <f>E12</f>
        <v>of ERI</v>
      </c>
      <c r="K12" s="822"/>
    </row>
    <row r="13" spans="1:13" s="656" customFormat="1" ht="18" customHeight="1">
      <c r="A13" s="657" t="s">
        <v>22</v>
      </c>
      <c r="B13" s="655"/>
      <c r="C13" s="821">
        <f>D13*$D$5</f>
        <v>0</v>
      </c>
      <c r="D13" s="748"/>
      <c r="E13" s="658" t="s">
        <v>18</v>
      </c>
      <c r="F13" s="659"/>
      <c r="G13" s="657" t="str">
        <f t="shared" si="0"/>
        <v xml:space="preserve">Fire and Liability Insurance </v>
      </c>
      <c r="H13" s="758">
        <v>1500</v>
      </c>
      <c r="I13" s="759" t="str">
        <f>E13</f>
        <v>per unit</v>
      </c>
      <c r="K13" s="862" t="s">
        <v>498</v>
      </c>
      <c r="L13" s="863"/>
    </row>
    <row r="14" spans="1:13" s="656" customFormat="1" ht="28.5" customHeight="1">
      <c r="A14" s="657" t="s">
        <v>498</v>
      </c>
      <c r="B14" s="859"/>
      <c r="C14" s="668">
        <f>D14</f>
        <v>0</v>
      </c>
      <c r="D14" s="749"/>
      <c r="E14" s="658" t="s">
        <v>570</v>
      </c>
      <c r="F14" s="659"/>
      <c r="G14" s="657" t="str">
        <f t="shared" si="0"/>
        <v>Tax Credit Monitoring</v>
      </c>
      <c r="H14" s="903" t="s">
        <v>550</v>
      </c>
      <c r="I14" s="904"/>
      <c r="K14" s="911" t="s">
        <v>571</v>
      </c>
      <c r="L14" s="912"/>
    </row>
    <row r="15" spans="1:13" s="656" customFormat="1">
      <c r="A15" s="657" t="s">
        <v>534</v>
      </c>
      <c r="B15" s="655"/>
      <c r="C15" s="821">
        <f>D15</f>
        <v>0</v>
      </c>
      <c r="D15" s="749"/>
      <c r="E15" s="658" t="s">
        <v>499</v>
      </c>
      <c r="F15" s="659"/>
      <c r="G15" s="657" t="str">
        <f>A15</f>
        <v>Benchmarking Expense</v>
      </c>
      <c r="H15" s="809">
        <v>600</v>
      </c>
      <c r="I15" s="759" t="str">
        <f>E15</f>
        <v>per building</v>
      </c>
      <c r="K15" s="913" t="s">
        <v>558</v>
      </c>
      <c r="L15" s="914"/>
    </row>
    <row r="16" spans="1:13" s="656" customFormat="1">
      <c r="A16" s="818"/>
      <c r="B16" s="859"/>
      <c r="C16" s="668"/>
      <c r="D16" s="827"/>
      <c r="E16" s="829"/>
      <c r="F16" s="659"/>
      <c r="G16" s="818"/>
      <c r="H16" s="860"/>
      <c r="I16" s="861"/>
    </row>
    <row r="17" spans="1:14" s="656" customFormat="1" ht="18" customHeight="1">
      <c r="E17" s="834"/>
      <c r="F17" s="659"/>
      <c r="G17" s="805"/>
      <c r="I17" s="834"/>
      <c r="K17" s="812" t="s">
        <v>537</v>
      </c>
      <c r="L17" s="813" t="s">
        <v>552</v>
      </c>
      <c r="M17" s="841"/>
    </row>
    <row r="18" spans="1:14" s="656" customFormat="1" ht="18" customHeight="1">
      <c r="A18" s="818"/>
      <c r="B18" s="655"/>
      <c r="C18" s="821"/>
      <c r="D18" s="827"/>
      <c r="E18" s="658"/>
      <c r="F18" s="659"/>
      <c r="G18" s="657"/>
      <c r="H18" s="809"/>
      <c r="I18" s="759"/>
      <c r="K18" s="840" t="s">
        <v>532</v>
      </c>
      <c r="L18" s="803">
        <v>165</v>
      </c>
      <c r="M18" s="842"/>
    </row>
    <row r="19" spans="1:14" s="656" customFormat="1" ht="18" customHeight="1">
      <c r="A19" s="819" t="s">
        <v>536</v>
      </c>
      <c r="B19" s="655"/>
      <c r="C19" s="821"/>
      <c r="D19" s="827"/>
      <c r="E19" s="658"/>
      <c r="F19" s="659"/>
      <c r="G19" s="839" t="str">
        <f t="shared" si="0"/>
        <v>UTILITIES</v>
      </c>
      <c r="H19" s="809"/>
      <c r="I19" s="759"/>
      <c r="K19" s="840" t="s">
        <v>545</v>
      </c>
      <c r="L19" s="803">
        <v>195</v>
      </c>
      <c r="M19" s="842"/>
    </row>
    <row r="20" spans="1:14" s="656" customFormat="1" ht="18" customHeight="1">
      <c r="A20" s="657" t="s">
        <v>537</v>
      </c>
      <c r="B20" s="655"/>
      <c r="C20" s="821">
        <f>D20*$D$6</f>
        <v>0</v>
      </c>
      <c r="D20" s="749"/>
      <c r="E20" s="658" t="s">
        <v>17</v>
      </c>
      <c r="F20" s="659"/>
      <c r="G20" s="657" t="str">
        <f t="shared" si="0"/>
        <v>Heating</v>
      </c>
      <c r="H20" s="903" t="s">
        <v>550</v>
      </c>
      <c r="I20" s="904"/>
      <c r="K20" s="840" t="s">
        <v>546</v>
      </c>
      <c r="L20" s="803">
        <v>100</v>
      </c>
      <c r="M20" s="842"/>
    </row>
    <row r="21" spans="1:14" s="656" customFormat="1" ht="18" customHeight="1">
      <c r="A21" s="657" t="s">
        <v>531</v>
      </c>
      <c r="B21" s="655"/>
      <c r="C21" s="821">
        <f>D21*$D$6</f>
        <v>0</v>
      </c>
      <c r="D21" s="748"/>
      <c r="E21" s="658" t="s">
        <v>17</v>
      </c>
      <c r="F21" s="659"/>
      <c r="G21" s="657" t="str">
        <f t="shared" si="0"/>
        <v>Hot Water</v>
      </c>
      <c r="H21" s="903" t="s">
        <v>550</v>
      </c>
      <c r="I21" s="904"/>
      <c r="K21" s="806" t="s">
        <v>547</v>
      </c>
      <c r="L21" s="804">
        <v>117</v>
      </c>
      <c r="M21" s="842"/>
    </row>
    <row r="22" spans="1:14" s="656" customFormat="1" ht="18" customHeight="1">
      <c r="A22" s="657" t="s">
        <v>538</v>
      </c>
      <c r="B22" s="655"/>
      <c r="C22" s="821">
        <f>D22*$D$6</f>
        <v>0</v>
      </c>
      <c r="D22" s="749"/>
      <c r="E22" s="658" t="s">
        <v>17</v>
      </c>
      <c r="F22" s="659"/>
      <c r="G22" s="657" t="str">
        <f t="shared" si="0"/>
        <v>Electric (common areas)</v>
      </c>
      <c r="H22" s="758">
        <v>200</v>
      </c>
      <c r="I22" s="759" t="str">
        <f>E22</f>
        <v>per room</v>
      </c>
    </row>
    <row r="23" spans="1:14" s="656" customFormat="1" ht="18" customHeight="1">
      <c r="A23" s="657" t="s">
        <v>539</v>
      </c>
      <c r="B23" s="655"/>
      <c r="C23" s="821">
        <f>D23*$D$6</f>
        <v>0</v>
      </c>
      <c r="D23" s="749"/>
      <c r="E23" s="658" t="s">
        <v>17</v>
      </c>
      <c r="F23" s="659"/>
      <c r="G23" s="657" t="str">
        <f t="shared" si="0"/>
        <v>Water &amp; Sewer</v>
      </c>
      <c r="H23" s="758">
        <v>300</v>
      </c>
      <c r="I23" s="759" t="str">
        <f>E23</f>
        <v>per room</v>
      </c>
      <c r="K23" s="812" t="s">
        <v>531</v>
      </c>
      <c r="L23" s="813" t="s">
        <v>552</v>
      </c>
    </row>
    <row r="24" spans="1:14" s="656" customFormat="1" ht="18" customHeight="1">
      <c r="A24" s="657" t="s">
        <v>540</v>
      </c>
      <c r="B24" s="822"/>
      <c r="C24" s="821">
        <f>D24*$D$5</f>
        <v>0</v>
      </c>
      <c r="D24" s="749"/>
      <c r="E24" s="658" t="s">
        <v>18</v>
      </c>
      <c r="F24" s="659"/>
      <c r="G24" s="657" t="str">
        <f t="shared" si="0"/>
        <v>Broadband</v>
      </c>
      <c r="H24" s="903" t="s">
        <v>551</v>
      </c>
      <c r="I24" s="904"/>
      <c r="J24" s="907"/>
      <c r="K24" s="840" t="s">
        <v>548</v>
      </c>
      <c r="L24" s="803">
        <v>112</v>
      </c>
    </row>
    <row r="25" spans="1:14" s="656" customFormat="1" ht="18" customHeight="1">
      <c r="A25" s="818"/>
      <c r="B25" s="822"/>
      <c r="C25" s="821"/>
      <c r="D25" s="827"/>
      <c r="E25" s="829"/>
      <c r="F25" s="659"/>
      <c r="G25" s="828"/>
      <c r="H25" s="810"/>
      <c r="I25" s="830"/>
      <c r="J25" s="907"/>
      <c r="K25" s="806" t="s">
        <v>549</v>
      </c>
      <c r="L25" s="804">
        <v>185</v>
      </c>
    </row>
    <row r="26" spans="1:14" s="656" customFormat="1" ht="18" customHeight="1">
      <c r="A26" s="819" t="s">
        <v>541</v>
      </c>
      <c r="B26" s="831"/>
      <c r="C26" s="668"/>
      <c r="D26" s="827"/>
      <c r="E26" s="658"/>
      <c r="F26" s="659"/>
      <c r="G26" s="839" t="str">
        <f>A26</f>
        <v>MAINTENANCE</v>
      </c>
      <c r="H26" s="810"/>
      <c r="I26" s="811"/>
      <c r="J26" s="907"/>
    </row>
    <row r="27" spans="1:14" s="656" customFormat="1" ht="18" customHeight="1">
      <c r="A27" s="657" t="s">
        <v>16</v>
      </c>
      <c r="B27" s="831"/>
      <c r="C27" s="821">
        <f>D27*$D$6</f>
        <v>0</v>
      </c>
      <c r="D27" s="749"/>
      <c r="E27" s="658" t="s">
        <v>17</v>
      </c>
      <c r="F27" s="659"/>
      <c r="G27" s="657" t="str">
        <f t="shared" ref="G27:G28" si="1">A27</f>
        <v>Supplies/Cleaning/Exterminating</v>
      </c>
      <c r="H27" s="809">
        <v>140</v>
      </c>
      <c r="I27" s="759" t="str">
        <f>E27</f>
        <v>per room</v>
      </c>
      <c r="J27" s="907"/>
      <c r="K27" s="812" t="s">
        <v>361</v>
      </c>
      <c r="L27" s="813" t="s">
        <v>553</v>
      </c>
    </row>
    <row r="28" spans="1:14" s="656" customFormat="1" ht="18" customHeight="1">
      <c r="A28" s="657" t="s">
        <v>361</v>
      </c>
      <c r="B28" s="831"/>
      <c r="C28" s="821">
        <f>D28*$D$5</f>
        <v>0</v>
      </c>
      <c r="D28" s="749"/>
      <c r="E28" s="658" t="s">
        <v>18</v>
      </c>
      <c r="F28" s="659"/>
      <c r="G28" s="657" t="str">
        <f t="shared" si="1"/>
        <v>Repairs/Replacement</v>
      </c>
      <c r="H28" s="903" t="s">
        <v>550</v>
      </c>
      <c r="I28" s="904"/>
      <c r="J28" s="907"/>
      <c r="K28" s="840" t="s">
        <v>572</v>
      </c>
      <c r="L28" s="803">
        <v>1000</v>
      </c>
    </row>
    <row r="29" spans="1:14" s="656" customFormat="1" ht="18" customHeight="1">
      <c r="A29" s="657" t="s">
        <v>542</v>
      </c>
      <c r="B29" s="831"/>
      <c r="C29" s="661">
        <f>C31+C32</f>
        <v>0</v>
      </c>
      <c r="D29" s="838" t="e">
        <f>C29/$D$5</f>
        <v>#DIV/0!</v>
      </c>
      <c r="E29" s="837" t="s">
        <v>18</v>
      </c>
      <c r="F29" s="659"/>
      <c r="G29" s="805"/>
      <c r="H29" s="810"/>
      <c r="I29" s="830"/>
      <c r="J29" s="907"/>
      <c r="K29" s="806" t="s">
        <v>573</v>
      </c>
      <c r="L29" s="804">
        <v>1100</v>
      </c>
    </row>
    <row r="30" spans="1:14" s="656" customFormat="1" ht="18" customHeight="1">
      <c r="A30" s="833" t="s">
        <v>20</v>
      </c>
      <c r="B30" s="832"/>
      <c r="C30" s="668"/>
      <c r="D30" s="827"/>
      <c r="E30" s="829"/>
      <c r="F30" s="659"/>
      <c r="G30" s="805"/>
      <c r="H30" s="810"/>
      <c r="I30" s="830"/>
      <c r="J30" s="907"/>
    </row>
    <row r="31" spans="1:14" s="656" customFormat="1" ht="18" customHeight="1">
      <c r="A31" s="662" t="s">
        <v>130</v>
      </c>
      <c r="B31" s="663"/>
      <c r="C31" s="823">
        <f>D31*B31</f>
        <v>0</v>
      </c>
      <c r="D31" s="748"/>
      <c r="E31" s="658" t="s">
        <v>360</v>
      </c>
      <c r="F31" s="659"/>
      <c r="G31" s="856" t="str">
        <f>A29</f>
        <v>Super &amp; Maintenance Salaries</v>
      </c>
      <c r="H31" s="903" t="s">
        <v>550</v>
      </c>
      <c r="I31" s="904"/>
      <c r="J31" s="907"/>
      <c r="K31" s="812" t="s">
        <v>555</v>
      </c>
      <c r="L31" s="814" t="s">
        <v>554</v>
      </c>
      <c r="M31" s="814" t="s">
        <v>500</v>
      </c>
      <c r="N31" s="805"/>
    </row>
    <row r="32" spans="1:14" s="656" customFormat="1" ht="18" customHeight="1">
      <c r="A32" s="662" t="s">
        <v>100</v>
      </c>
      <c r="B32" s="663"/>
      <c r="C32" s="823">
        <f>D32*B32</f>
        <v>0</v>
      </c>
      <c r="D32" s="748"/>
      <c r="E32" s="658" t="s">
        <v>360</v>
      </c>
      <c r="F32" s="659"/>
      <c r="G32" s="664"/>
      <c r="H32" s="905" t="s">
        <v>502</v>
      </c>
      <c r="I32" s="906"/>
      <c r="K32" s="665" t="s">
        <v>501</v>
      </c>
      <c r="L32" s="666">
        <v>145455</v>
      </c>
      <c r="M32" s="666">
        <v>91374</v>
      </c>
      <c r="N32" s="849"/>
    </row>
    <row r="33" spans="1:14" s="656" customFormat="1" ht="18" customHeight="1">
      <c r="A33" s="662"/>
      <c r="B33" s="667"/>
      <c r="C33" s="822"/>
      <c r="D33" s="822"/>
      <c r="E33" s="658"/>
      <c r="F33" s="659"/>
      <c r="G33" s="843"/>
      <c r="H33" s="857"/>
      <c r="I33" s="858"/>
      <c r="K33" s="665" t="s">
        <v>503</v>
      </c>
      <c r="L33" s="666">
        <v>115526</v>
      </c>
      <c r="M33" s="666">
        <v>84497</v>
      </c>
      <c r="N33" s="849"/>
    </row>
    <row r="34" spans="1:14" s="656" customFormat="1" ht="18" customHeight="1">
      <c r="A34" s="657" t="s">
        <v>21</v>
      </c>
      <c r="B34" s="663"/>
      <c r="C34" s="821">
        <f>D34*B34</f>
        <v>0</v>
      </c>
      <c r="D34" s="749"/>
      <c r="E34" s="658" t="s">
        <v>63</v>
      </c>
      <c r="F34" s="659"/>
      <c r="G34" s="657" t="str">
        <f t="shared" ref="G34:G35" si="2">A34</f>
        <v xml:space="preserve">Elevator Maintenance &amp; Repairs </v>
      </c>
      <c r="H34" s="758">
        <v>10000</v>
      </c>
      <c r="I34" s="759" t="str">
        <f t="shared" ref="I34:I35" si="3">E34</f>
        <v>per elevator</v>
      </c>
      <c r="K34" s="847"/>
      <c r="L34" s="848"/>
      <c r="M34" s="848"/>
      <c r="N34" s="655"/>
    </row>
    <row r="35" spans="1:14" s="656" customFormat="1" ht="18" customHeight="1">
      <c r="A35" s="657" t="s">
        <v>543</v>
      </c>
      <c r="B35" s="669"/>
      <c r="C35" s="821">
        <f>D35*$D$5</f>
        <v>0</v>
      </c>
      <c r="D35" s="825"/>
      <c r="E35" s="658" t="s">
        <v>18</v>
      </c>
      <c r="F35" s="659"/>
      <c r="G35" s="818" t="str">
        <f t="shared" si="2"/>
        <v xml:space="preserve">Building Reserve </v>
      </c>
      <c r="H35" s="758">
        <v>400</v>
      </c>
      <c r="I35" s="836" t="str">
        <f t="shared" si="3"/>
        <v>per unit</v>
      </c>
    </row>
    <row r="36" spans="1:14" s="656" customFormat="1" ht="18" customHeight="1">
      <c r="A36" s="657"/>
      <c r="B36" s="669"/>
      <c r="C36" s="821"/>
      <c r="D36" s="827"/>
      <c r="E36" s="658"/>
      <c r="F36" s="659"/>
      <c r="G36" s="835"/>
      <c r="H36" s="758"/>
      <c r="I36" s="836"/>
    </row>
    <row r="37" spans="1:14" s="656" customFormat="1" ht="18" customHeight="1">
      <c r="A37" s="819" t="s">
        <v>544</v>
      </c>
      <c r="B37" s="669"/>
      <c r="C37" s="821"/>
      <c r="D37" s="827"/>
      <c r="E37" s="829"/>
      <c r="F37" s="659"/>
      <c r="G37" s="839" t="str">
        <f>A37</f>
        <v>OTHER</v>
      </c>
      <c r="H37" s="758"/>
      <c r="I37" s="836"/>
    </row>
    <row r="38" spans="1:14" s="656" customFormat="1" ht="18" customHeight="1">
      <c r="A38" s="818" t="s">
        <v>556</v>
      </c>
      <c r="B38" s="669"/>
      <c r="C38" s="821" t="e">
        <f ca="1">D38*FIRST</f>
        <v>#DIV/0!</v>
      </c>
      <c r="D38" s="825"/>
      <c r="E38" s="658" t="s">
        <v>574</v>
      </c>
      <c r="F38" s="659"/>
      <c r="G38" s="850" t="s">
        <v>556</v>
      </c>
      <c r="H38" s="851">
        <v>2.5000000000000001E-3</v>
      </c>
      <c r="I38" s="844" t="s">
        <v>557</v>
      </c>
    </row>
    <row r="39" spans="1:14" s="656" customFormat="1" ht="18" customHeight="1">
      <c r="A39" s="657" t="s">
        <v>240</v>
      </c>
      <c r="B39" s="669"/>
      <c r="C39" s="821">
        <f>D39*$D$5</f>
        <v>0</v>
      </c>
      <c r="D39" s="825"/>
      <c r="E39" s="658" t="s">
        <v>196</v>
      </c>
      <c r="F39" s="659"/>
      <c r="G39" s="852"/>
      <c r="H39" s="760"/>
      <c r="I39" s="853"/>
    </row>
    <row r="40" spans="1:14" s="656" customFormat="1" ht="18" customHeight="1">
      <c r="A40" s="657" t="s">
        <v>362</v>
      </c>
      <c r="B40" s="669"/>
      <c r="C40" s="668">
        <v>0</v>
      </c>
      <c r="D40" s="748"/>
      <c r="E40" s="658" t="s">
        <v>18</v>
      </c>
      <c r="F40" s="659"/>
      <c r="G40" s="660"/>
      <c r="H40" s="855"/>
      <c r="I40" s="855"/>
    </row>
    <row r="41" spans="1:14" s="656" customFormat="1" ht="18" customHeight="1">
      <c r="A41" s="657" t="s">
        <v>362</v>
      </c>
      <c r="B41" s="824"/>
      <c r="C41" s="668">
        <v>0</v>
      </c>
      <c r="D41" s="748"/>
      <c r="E41" s="658" t="s">
        <v>18</v>
      </c>
      <c r="F41" s="659"/>
      <c r="G41" s="660"/>
      <c r="H41" s="758"/>
      <c r="I41" s="854"/>
    </row>
    <row r="42" spans="1:14" s="656" customFormat="1" ht="18" customHeight="1">
      <c r="E42" s="834"/>
      <c r="F42" s="659"/>
      <c r="G42" s="655"/>
      <c r="H42" s="758"/>
      <c r="I42" s="854"/>
    </row>
    <row r="43" spans="1:14" s="656" customFormat="1" ht="18" customHeight="1">
      <c r="A43" s="670" t="s">
        <v>23</v>
      </c>
      <c r="B43" s="655"/>
      <c r="C43" s="671" t="e">
        <f ca="1">SUM(C10:C29,C34:C41)</f>
        <v>#DIV/0!</v>
      </c>
      <c r="E43" s="672" t="s">
        <v>1</v>
      </c>
      <c r="F43" s="675"/>
    </row>
    <row r="44" spans="1:14" s="656" customFormat="1" ht="18" customHeight="1">
      <c r="A44" s="673"/>
      <c r="D44" s="895" t="e">
        <f ca="1">C43/D5</f>
        <v>#DIV/0!</v>
      </c>
      <c r="E44" s="672" t="s">
        <v>18</v>
      </c>
      <c r="F44" s="659"/>
    </row>
    <row r="45" spans="1:14" s="656" customFormat="1" ht="18" customHeight="1">
      <c r="A45" s="676"/>
      <c r="B45" s="655"/>
      <c r="D45" s="895" t="e">
        <f ca="1">C43/D6</f>
        <v>#DIV/0!</v>
      </c>
      <c r="E45" s="672" t="s">
        <v>17</v>
      </c>
      <c r="F45" s="659"/>
      <c r="K45" s="172"/>
      <c r="L45" s="172"/>
      <c r="M45" s="172"/>
      <c r="N45" s="172"/>
    </row>
    <row r="46" spans="1:14" s="656" customFormat="1" ht="18" customHeight="1">
      <c r="A46" s="676"/>
      <c r="B46" s="655"/>
      <c r="C46" s="659"/>
      <c r="D46" s="659"/>
      <c r="E46" s="658"/>
      <c r="F46" s="659"/>
      <c r="K46" s="172"/>
      <c r="L46" s="172"/>
      <c r="M46" s="172"/>
      <c r="N46" s="172"/>
    </row>
    <row r="47" spans="1:14" s="656" customFormat="1" ht="18" customHeight="1">
      <c r="A47" s="657" t="s">
        <v>24</v>
      </c>
      <c r="B47" s="677"/>
      <c r="C47" s="678"/>
      <c r="E47" s="658"/>
      <c r="F47" s="659"/>
      <c r="K47" s="172"/>
      <c r="L47" s="172"/>
      <c r="M47" s="172"/>
      <c r="N47" s="172"/>
    </row>
    <row r="48" spans="1:14" s="656" customFormat="1" ht="18" customHeight="1">
      <c r="A48" s="657"/>
      <c r="B48" s="655"/>
      <c r="C48" s="659"/>
      <c r="D48" s="659"/>
      <c r="E48" s="658"/>
      <c r="F48" s="659"/>
      <c r="K48" s="172"/>
      <c r="L48" s="172"/>
      <c r="M48" s="172"/>
      <c r="N48" s="172"/>
    </row>
    <row r="49" spans="1:15" s="656" customFormat="1" ht="18" customHeight="1">
      <c r="A49" s="670" t="s">
        <v>131</v>
      </c>
      <c r="B49" s="655"/>
      <c r="C49" s="674" t="e">
        <f ca="1">Expenses+C47</f>
        <v>#DIV/0!</v>
      </c>
      <c r="D49" s="659"/>
      <c r="E49" s="658"/>
      <c r="F49" s="659"/>
      <c r="K49" s="172"/>
      <c r="L49" s="172"/>
      <c r="M49" s="172"/>
      <c r="N49" s="172"/>
    </row>
    <row r="50" spans="1:15" s="656" customFormat="1" ht="18" customHeight="1">
      <c r="A50" s="679"/>
      <c r="B50" s="655"/>
      <c r="C50" s="674" t="e">
        <f ca="1">C49/D5</f>
        <v>#DIV/0!</v>
      </c>
      <c r="D50" s="674"/>
      <c r="E50" s="672" t="s">
        <v>69</v>
      </c>
      <c r="F50" s="659"/>
      <c r="K50" s="172"/>
      <c r="L50" s="172"/>
      <c r="M50" s="172"/>
      <c r="N50" s="172"/>
      <c r="O50" s="172"/>
    </row>
    <row r="51" spans="1:15">
      <c r="A51" s="680"/>
      <c r="B51" s="652"/>
      <c r="C51" s="681" t="e">
        <f ca="1">C49/D6</f>
        <v>#DIV/0!</v>
      </c>
      <c r="D51" s="681"/>
      <c r="E51" s="682" t="s">
        <v>17</v>
      </c>
      <c r="F51" s="29"/>
      <c r="G51" s="656"/>
      <c r="H51" s="656"/>
      <c r="I51" s="656"/>
    </row>
    <row r="52" spans="1:15">
      <c r="A52" s="28"/>
      <c r="B52" s="28"/>
      <c r="C52" s="74"/>
      <c r="D52" s="74"/>
      <c r="E52" s="75"/>
      <c r="F52" s="29"/>
    </row>
    <row r="53" spans="1:15">
      <c r="A53" s="28"/>
      <c r="B53" s="28"/>
      <c r="C53" s="29"/>
      <c r="D53" s="29"/>
      <c r="E53" s="28"/>
      <c r="F53" s="28"/>
    </row>
    <row r="54" spans="1:15">
      <c r="A54" s="234"/>
      <c r="B54" s="233"/>
      <c r="C54" s="28"/>
      <c r="D54" s="29"/>
      <c r="E54" s="28"/>
    </row>
  </sheetData>
  <customSheetViews>
    <customSheetView guid="{560D4AFA-61E5-46C3-B0CD-D0EB3053A033}" scale="75" colorId="22" showPageBreaks="1" printArea="1" hiddenRows="1" hiddenColumns="1" showRuler="0" topLeftCell="A2">
      <selection activeCell="H26" sqref="H26"/>
      <pageMargins left="0.75" right="0.5" top="0.75" bottom="0.5" header="0.5" footer="0.5"/>
      <pageSetup scale="93" orientation="landscape" r:id="rId1"/>
      <headerFooter alignWithMargins="0"/>
    </customSheetView>
    <customSheetView guid="{1ECE83C7-A3CE-4F97-BFD3-498FF783C0D9}" scale="75" colorId="22" showPageBreaks="1" printArea="1" hiddenColumns="1" showRuler="0">
      <selection activeCell="H29" sqref="H29"/>
      <pageMargins left="0.75" right="0.5" top="0.75" bottom="0.5" header="0.5" footer="0.5"/>
      <pageSetup scale="93" orientation="landscape" r:id="rId2"/>
      <headerFooter alignWithMargins="0"/>
    </customSheetView>
    <customSheetView guid="{6EF643BE-69F3-424E-8A44-3890161370D4}" scale="75" colorId="22" showPageBreaks="1" fitToPage="1" printArea="1" hiddenColumns="1" showRuler="0" topLeftCell="A10">
      <selection activeCell="J28" sqref="J28"/>
      <pageMargins left="0.5" right="0.5" top="0.5" bottom="0.5" header="0.5" footer="0.5"/>
      <pageSetup orientation="landscape" r:id="rId3"/>
      <headerFooter alignWithMargins="0"/>
    </customSheetView>
    <customSheetView guid="{FBB4BF8E-8A9F-4E98-A6F9-5F9BF4C55C67}" scale="65" colorId="22" showPageBreaks="1" fitToPage="1" printArea="1" hiddenColumns="1" showRuler="0">
      <selection activeCell="J16" sqref="J16"/>
      <pageMargins left="0.5" right="0.5" top="0.5" bottom="0.5" header="0.5" footer="0.5"/>
      <pageSetup orientation="landscape" r:id="rId4"/>
      <headerFooter alignWithMargins="0"/>
    </customSheetView>
    <customSheetView guid="{EB776EFC-3589-4DB5-BEAF-1E83D9703F9E}" scale="65" colorId="22" fitToPage="1" hiddenColumns="1" showRuler="0" topLeftCell="A4">
      <selection activeCell="C19" sqref="C19"/>
      <pageMargins left="0.5" right="0.5" top="0.5" bottom="0.5" header="0.5" footer="0.5"/>
      <pageSetup orientation="landscape" r:id="rId5"/>
      <headerFooter alignWithMargins="0"/>
    </customSheetView>
    <customSheetView guid="{AEA5979F-5357-4ED6-A6CA-1BB80F5C7A74}" scale="75" colorId="22" showPageBreaks="1" fitToPage="1" printArea="1" hiddenColumns="1" showRuler="0">
      <selection activeCell="J28" sqref="J28"/>
      <pageMargins left="0.5" right="0.5" top="0.5" bottom="0.5" header="0.5" footer="0.5"/>
      <pageSetup orientation="landscape" r:id="rId6"/>
      <headerFooter alignWithMargins="0"/>
    </customSheetView>
    <customSheetView guid="{28F81D13-D146-4D67-8981-BA5D7A496326}" scale="75" colorId="22" showPageBreaks="1" fitToPage="1" printArea="1" hiddenColumns="1" showRuler="0" topLeftCell="A7">
      <selection activeCell="K9" sqref="K9"/>
      <pageMargins left="0.5" right="0.5" top="0.5" bottom="0.5" header="0.5" footer="0.5"/>
      <pageSetup orientation="landscape" r:id="rId7"/>
      <headerFooter alignWithMargins="0"/>
    </customSheetView>
    <customSheetView guid="{25C4E7E7-1006-4A2D-BC83-AEE4ADF8A914}" scale="75" colorId="22" showPageBreaks="1" printArea="1" hiddenRows="1" hiddenColumns="1" showRuler="0" topLeftCell="A17">
      <selection activeCell="G26" sqref="G26"/>
      <pageMargins left="0.75" right="0.5" top="0.75" bottom="0.5" header="0.5" footer="0.5"/>
      <pageSetup scale="93" orientation="landscape" r:id="rId8"/>
      <headerFooter alignWithMargins="0"/>
    </customSheetView>
  </customSheetViews>
  <mergeCells count="11">
    <mergeCell ref="J24:J31"/>
    <mergeCell ref="G8:I8"/>
    <mergeCell ref="H24:I24"/>
    <mergeCell ref="K14:L14"/>
    <mergeCell ref="K15:L15"/>
    <mergeCell ref="H31:I31"/>
    <mergeCell ref="H32:I32"/>
    <mergeCell ref="H14:I14"/>
    <mergeCell ref="H20:I20"/>
    <mergeCell ref="H21:I21"/>
    <mergeCell ref="H28:I28"/>
  </mergeCells>
  <phoneticPr fontId="0" type="noConversion"/>
  <printOptions horizontalCentered="1" verticalCentered="1"/>
  <pageMargins left="0.75" right="0.5" top="0.75" bottom="0.5" header="0.5" footer="0.5"/>
  <pageSetup firstPageNumber="210" orientation="portrait" useFirstPageNumber="1" r:id="rId9"/>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pageSetUpPr fitToPage="1"/>
  </sheetPr>
  <dimension ref="A1:T46"/>
  <sheetViews>
    <sheetView defaultGridColor="0" colorId="22" zoomScale="85" zoomScaleNormal="85" workbookViewId="0"/>
  </sheetViews>
  <sheetFormatPr defaultColWidth="9.77734375" defaultRowHeight="15"/>
  <cols>
    <col min="1" max="1" width="35.44140625" bestFit="1" customWidth="1"/>
    <col min="2" max="2" width="11.77734375" bestFit="1" customWidth="1"/>
    <col min="4" max="4" width="13.109375" customWidth="1"/>
    <col min="6" max="7" width="12.6640625" customWidth="1"/>
    <col min="8" max="8" width="20.88671875" customWidth="1"/>
    <col min="9" max="9" width="18.77734375" customWidth="1"/>
    <col min="10" max="10" width="19.21875" customWidth="1"/>
    <col min="11" max="11" width="17.44140625" customWidth="1"/>
    <col min="12" max="12" width="12.6640625" customWidth="1"/>
    <col min="13" max="13" width="10.77734375" bestFit="1" customWidth="1"/>
    <col min="14" max="14" width="11" bestFit="1" customWidth="1"/>
  </cols>
  <sheetData>
    <row r="1" spans="1:16">
      <c r="A1" s="1" t="str">
        <f>'M and O'!A1</f>
        <v xml:space="preserve">Project Name: </v>
      </c>
      <c r="E1" s="2"/>
      <c r="F1" s="47"/>
      <c r="G1" s="2"/>
      <c r="H1" s="2"/>
      <c r="I1" s="2"/>
      <c r="J1" s="2"/>
      <c r="K1" s="25"/>
      <c r="L1" s="25"/>
      <c r="M1" s="2"/>
      <c r="N1" s="2"/>
    </row>
    <row r="2" spans="1:16">
      <c r="A2" s="1" t="str">
        <f>'M and O'!A2</f>
        <v>Site:</v>
      </c>
      <c r="B2" s="2"/>
      <c r="E2" s="2"/>
      <c r="F2" s="2"/>
      <c r="G2" s="2"/>
      <c r="H2" s="2"/>
      <c r="I2" s="2"/>
      <c r="J2" s="2"/>
      <c r="K2" s="25" t="str">
        <f>'Sources and Use'!C2</f>
        <v>Units:</v>
      </c>
      <c r="L2" s="25">
        <f>'Units &amp; Income'!C23</f>
        <v>0</v>
      </c>
      <c r="M2" s="2"/>
      <c r="N2" s="2"/>
    </row>
    <row r="3" spans="1:16">
      <c r="A3" s="1"/>
      <c r="B3" s="2"/>
      <c r="C3" s="2"/>
      <c r="D3" s="2"/>
      <c r="E3" s="2"/>
      <c r="F3" s="2"/>
      <c r="G3" s="2"/>
      <c r="H3" s="2"/>
      <c r="I3" s="2"/>
      <c r="J3" s="2"/>
      <c r="K3" s="2"/>
      <c r="L3" s="2"/>
      <c r="M3" s="2"/>
      <c r="N3" s="2"/>
    </row>
    <row r="4" spans="1:16">
      <c r="B4" s="2"/>
      <c r="C4" s="2"/>
      <c r="D4" s="2"/>
      <c r="E4" s="2"/>
      <c r="F4" s="112" t="s">
        <v>26</v>
      </c>
      <c r="G4" s="2"/>
      <c r="H4" s="4"/>
      <c r="I4" s="4"/>
      <c r="J4" s="4"/>
      <c r="K4" s="15"/>
      <c r="L4" s="2"/>
      <c r="M4" s="2"/>
      <c r="N4" s="2"/>
    </row>
    <row r="5" spans="1:16">
      <c r="A5" s="30" t="s">
        <v>206</v>
      </c>
      <c r="B5" s="2"/>
      <c r="C5" s="2"/>
      <c r="D5" s="2"/>
      <c r="E5" s="2"/>
      <c r="F5" s="112" t="s">
        <v>160</v>
      </c>
      <c r="G5" s="2"/>
      <c r="H5" s="2"/>
      <c r="I5" s="2"/>
      <c r="J5" s="2"/>
      <c r="K5" s="4"/>
      <c r="L5" s="15"/>
      <c r="M5" s="15"/>
      <c r="N5" s="15"/>
    </row>
    <row r="6" spans="1:16" ht="15.4" thickBot="1">
      <c r="A6" s="319"/>
      <c r="B6" s="320"/>
      <c r="C6" s="320"/>
      <c r="D6" s="320"/>
      <c r="E6" s="318"/>
      <c r="F6" s="322"/>
      <c r="G6" s="322"/>
      <c r="H6" s="322"/>
      <c r="I6" s="322"/>
      <c r="J6" s="322"/>
      <c r="K6" s="323"/>
      <c r="L6" s="323"/>
      <c r="M6" s="4"/>
      <c r="N6" s="4"/>
    </row>
    <row r="7" spans="1:16" ht="15.4" thickTop="1">
      <c r="A7" s="35"/>
      <c r="B7" s="19"/>
      <c r="C7" s="19"/>
      <c r="D7" s="293"/>
      <c r="E7" s="329"/>
      <c r="F7" s="222" t="s">
        <v>207</v>
      </c>
      <c r="G7" s="222"/>
      <c r="H7" s="276"/>
      <c r="I7" s="752" t="s">
        <v>164</v>
      </c>
      <c r="J7" s="321"/>
      <c r="K7" s="152"/>
      <c r="L7" s="324"/>
      <c r="M7" s="2"/>
      <c r="N7" s="2"/>
    </row>
    <row r="8" spans="1:16">
      <c r="A8" s="302" t="s">
        <v>161</v>
      </c>
      <c r="B8" s="17"/>
      <c r="C8" s="17"/>
      <c r="D8" s="14"/>
      <c r="E8" s="329"/>
      <c r="F8" s="217"/>
      <c r="G8" s="173"/>
      <c r="H8" s="753"/>
      <c r="I8" s="151"/>
      <c r="J8" s="152"/>
      <c r="K8" s="153" t="s">
        <v>245</v>
      </c>
      <c r="L8" s="325"/>
      <c r="M8" s="2"/>
      <c r="N8" s="2"/>
    </row>
    <row r="9" spans="1:16">
      <c r="A9" s="303" t="s">
        <v>123</v>
      </c>
      <c r="B9" s="301"/>
      <c r="C9" s="17"/>
      <c r="D9" s="14">
        <f>'Units &amp; Income'!J117</f>
        <v>0</v>
      </c>
      <c r="E9" s="27"/>
      <c r="F9" s="217" t="s">
        <v>208</v>
      </c>
      <c r="G9" s="173"/>
      <c r="H9" s="754"/>
      <c r="I9" s="151"/>
      <c r="J9" s="154" t="s">
        <v>214</v>
      </c>
      <c r="K9" s="423"/>
      <c r="L9" s="326"/>
      <c r="M9" s="2"/>
      <c r="N9" s="2"/>
    </row>
    <row r="10" spans="1:16">
      <c r="A10" s="350" t="s">
        <v>153</v>
      </c>
      <c r="B10" s="343"/>
      <c r="C10" s="22"/>
      <c r="D10" s="14">
        <f>B10*-D9</f>
        <v>0</v>
      </c>
      <c r="E10" s="27"/>
      <c r="F10" s="328" t="s">
        <v>209</v>
      </c>
      <c r="G10" s="174"/>
      <c r="H10" s="754"/>
      <c r="I10" s="152"/>
      <c r="J10" s="156" t="s">
        <v>28</v>
      </c>
      <c r="K10" s="423"/>
      <c r="L10" s="326"/>
      <c r="M10" s="2"/>
    </row>
    <row r="11" spans="1:16" ht="15.4">
      <c r="A11" s="305" t="s">
        <v>27</v>
      </c>
      <c r="B11" s="126"/>
      <c r="C11" s="126"/>
      <c r="D11" s="294">
        <f>D9+D10</f>
        <v>0</v>
      </c>
      <c r="E11" s="27"/>
      <c r="F11" s="217" t="s">
        <v>210</v>
      </c>
      <c r="G11" s="173"/>
      <c r="H11" s="755"/>
      <c r="I11" s="152"/>
      <c r="J11" s="154" t="s">
        <v>29</v>
      </c>
      <c r="K11" s="155">
        <f>SUM(K9:K10)</f>
        <v>0</v>
      </c>
      <c r="L11" s="326"/>
      <c r="M11" s="2"/>
    </row>
    <row r="12" spans="1:16">
      <c r="A12" s="306"/>
      <c r="B12" s="44"/>
      <c r="C12" s="44"/>
      <c r="D12" s="295"/>
      <c r="E12" s="27"/>
      <c r="F12" s="217" t="s">
        <v>211</v>
      </c>
      <c r="G12" s="173"/>
      <c r="H12" s="754"/>
      <c r="I12" s="152"/>
      <c r="L12" s="326"/>
      <c r="M12" s="2"/>
    </row>
    <row r="13" spans="1:16">
      <c r="A13" s="303" t="s">
        <v>104</v>
      </c>
      <c r="B13" s="22"/>
      <c r="C13" s="22"/>
      <c r="D13" s="14">
        <f>'Units &amp; Income'!E30</f>
        <v>0</v>
      </c>
      <c r="E13" s="27"/>
      <c r="F13" s="217" t="s">
        <v>212</v>
      </c>
      <c r="G13" s="173"/>
      <c r="H13" s="754"/>
      <c r="I13" s="152"/>
      <c r="J13" s="157"/>
      <c r="K13" s="158"/>
      <c r="L13" s="327"/>
      <c r="M13" s="2"/>
      <c r="P13" s="172"/>
    </row>
    <row r="14" spans="1:16">
      <c r="A14" s="303" t="s">
        <v>154</v>
      </c>
      <c r="B14" s="22"/>
      <c r="C14" s="22"/>
      <c r="D14" s="14">
        <f>'Units &amp; Income'!E34</f>
        <v>0</v>
      </c>
      <c r="E14" s="27"/>
      <c r="F14" s="280" t="s">
        <v>213</v>
      </c>
      <c r="G14" s="189"/>
      <c r="H14" s="755"/>
      <c r="I14" s="152"/>
      <c r="J14" s="151"/>
      <c r="K14" s="152"/>
      <c r="L14" s="327"/>
      <c r="M14" s="2"/>
    </row>
    <row r="15" spans="1:16">
      <c r="A15" s="303" t="s">
        <v>155</v>
      </c>
      <c r="B15" s="22"/>
      <c r="C15" s="22"/>
      <c r="D15" s="14">
        <f>'Units &amp; Income'!E36</f>
        <v>0</v>
      </c>
      <c r="E15" s="27"/>
      <c r="F15" s="354"/>
      <c r="G15" s="132"/>
      <c r="H15" s="756">
        <f>SUM(H9:H14)</f>
        <v>0</v>
      </c>
      <c r="I15" s="132"/>
      <c r="J15" s="132"/>
      <c r="K15" s="351"/>
      <c r="L15" s="334"/>
      <c r="M15" s="2"/>
      <c r="N15" s="2"/>
    </row>
    <row r="16" spans="1:16">
      <c r="A16" s="303" t="s">
        <v>30</v>
      </c>
      <c r="B16" s="22"/>
      <c r="C16" s="22"/>
      <c r="D16" s="14">
        <f>'Units &amp; Income'!E39</f>
        <v>0</v>
      </c>
      <c r="E16" s="18"/>
      <c r="F16" s="353"/>
      <c r="G16" s="235"/>
      <c r="H16" s="352"/>
      <c r="I16" s="235"/>
      <c r="J16" s="235"/>
      <c r="K16" s="235"/>
      <c r="L16" s="352"/>
      <c r="M16" s="2"/>
      <c r="N16" s="2"/>
      <c r="P16" s="172"/>
    </row>
    <row r="17" spans="1:20" ht="15.4" thickBot="1">
      <c r="A17" s="304" t="s">
        <v>156</v>
      </c>
      <c r="B17" s="343"/>
      <c r="C17" s="22"/>
      <c r="D17" s="14">
        <f>-(D13*B17)</f>
        <v>0</v>
      </c>
      <c r="E17" s="18"/>
      <c r="F17" s="322"/>
      <c r="G17" s="322"/>
      <c r="H17" s="322"/>
      <c r="I17" s="322"/>
      <c r="J17" s="322"/>
      <c r="K17" s="336"/>
      <c r="L17" s="337"/>
      <c r="M17" s="2"/>
      <c r="N17" s="2"/>
    </row>
    <row r="18" spans="1:20" ht="15.4" thickTop="1">
      <c r="A18" s="304" t="s">
        <v>158</v>
      </c>
      <c r="B18" s="342"/>
      <c r="C18" s="20"/>
      <c r="D18" s="14">
        <f>-(D14*B18)</f>
        <v>0</v>
      </c>
      <c r="E18" s="330"/>
      <c r="F18" s="18"/>
      <c r="H18" s="3"/>
      <c r="I18" s="356"/>
      <c r="J18" s="2"/>
      <c r="K18" s="2"/>
      <c r="L18" s="334"/>
    </row>
    <row r="19" spans="1:20">
      <c r="A19" s="307" t="s">
        <v>163</v>
      </c>
      <c r="B19" s="342"/>
      <c r="D19" s="14">
        <f>-(D15*B19)</f>
        <v>0</v>
      </c>
      <c r="E19" s="330"/>
      <c r="F19" s="18"/>
      <c r="H19" s="6"/>
      <c r="I19" s="357"/>
      <c r="J19" s="9"/>
      <c r="K19" s="4"/>
      <c r="L19" s="334"/>
    </row>
    <row r="20" spans="1:20">
      <c r="A20" s="304" t="s">
        <v>157</v>
      </c>
      <c r="B20" s="342"/>
      <c r="C20" s="44"/>
      <c r="D20" s="14">
        <f>-(D16*B20)</f>
        <v>0</v>
      </c>
      <c r="E20" s="330"/>
      <c r="F20" s="18"/>
      <c r="I20" s="358"/>
      <c r="J20" s="2"/>
      <c r="K20" s="2"/>
      <c r="L20" s="334"/>
    </row>
    <row r="21" spans="1:20" ht="15.4">
      <c r="A21" s="308" t="s">
        <v>159</v>
      </c>
      <c r="B21" s="125"/>
      <c r="C21" s="125"/>
      <c r="D21" s="294">
        <f>SUM(D13:D20)</f>
        <v>0</v>
      </c>
      <c r="E21" s="330"/>
      <c r="F21" s="18"/>
      <c r="H21" s="3" t="s">
        <v>31</v>
      </c>
      <c r="I21" s="362"/>
      <c r="J21" s="2" t="s">
        <v>383</v>
      </c>
      <c r="K21" s="2"/>
      <c r="L21" s="334"/>
    </row>
    <row r="22" spans="1:20">
      <c r="A22" s="309" t="s">
        <v>162</v>
      </c>
      <c r="B22" s="124"/>
      <c r="C22" s="124"/>
      <c r="D22" s="296">
        <f>D11+D21</f>
        <v>0</v>
      </c>
      <c r="E22" s="330"/>
      <c r="F22" s="18"/>
      <c r="H22" s="3" t="s">
        <v>337</v>
      </c>
      <c r="I22" s="600">
        <f>SECOND</f>
        <v>0</v>
      </c>
      <c r="L22" s="298"/>
    </row>
    <row r="23" spans="1:20">
      <c r="A23" s="310"/>
      <c r="B23" s="22"/>
      <c r="C23" s="22"/>
      <c r="D23" s="14"/>
      <c r="E23" s="330"/>
      <c r="F23" s="18"/>
      <c r="G23" s="134"/>
      <c r="H23" s="3" t="s">
        <v>235</v>
      </c>
      <c r="I23" s="359">
        <f>J30</f>
        <v>0</v>
      </c>
      <c r="J23" s="2"/>
      <c r="K23" s="2"/>
      <c r="L23" s="334"/>
    </row>
    <row r="24" spans="1:20">
      <c r="A24" s="302" t="s">
        <v>66</v>
      </c>
      <c r="B24" s="22"/>
      <c r="C24" s="22"/>
      <c r="D24" s="14"/>
      <c r="E24" s="330"/>
      <c r="F24" s="18"/>
      <c r="H24" s="127" t="s">
        <v>236</v>
      </c>
      <c r="I24" s="359">
        <f>K30</f>
        <v>0</v>
      </c>
      <c r="J24" s="2"/>
      <c r="K24" s="2"/>
      <c r="L24" s="334"/>
    </row>
    <row r="25" spans="1:20">
      <c r="A25" s="303" t="s">
        <v>35</v>
      </c>
      <c r="B25" s="21" t="e">
        <f ca="1">D25/'Units &amp; Income'!C23</f>
        <v>#DIV/0!</v>
      </c>
      <c r="C25" s="21" t="s">
        <v>18</v>
      </c>
      <c r="D25" s="14" t="e">
        <f ca="1">'M and O'!C43-'M and O'!C35</f>
        <v>#DIV/0!</v>
      </c>
      <c r="E25" s="330"/>
      <c r="F25" s="67"/>
      <c r="G25" s="316"/>
      <c r="H25" s="332" t="s">
        <v>32</v>
      </c>
      <c r="I25" s="417">
        <f>I21+I22+I23+I24</f>
        <v>0</v>
      </c>
      <c r="J25" s="316"/>
      <c r="K25" s="316"/>
      <c r="L25" s="335"/>
    </row>
    <row r="26" spans="1:20" ht="15.4" thickBot="1">
      <c r="A26" s="303" t="s">
        <v>36</v>
      </c>
      <c r="B26" s="21" t="e">
        <f>D26/'Units &amp; Income'!C23</f>
        <v>#DIV/0!</v>
      </c>
      <c r="C26" s="21" t="s">
        <v>18</v>
      </c>
      <c r="D26" s="14">
        <f>'M and O'!C47</f>
        <v>0</v>
      </c>
      <c r="F26" s="338"/>
      <c r="G26" s="339"/>
      <c r="H26" s="339"/>
      <c r="I26" s="339"/>
      <c r="J26" s="745"/>
      <c r="K26" s="745"/>
      <c r="L26" s="339"/>
      <c r="M26" s="152"/>
      <c r="N26" s="152"/>
      <c r="O26" s="152"/>
      <c r="P26" s="152"/>
      <c r="Q26" s="152"/>
      <c r="R26" s="152"/>
      <c r="S26" s="152"/>
      <c r="T26" s="152"/>
    </row>
    <row r="27" spans="1:20" ht="15.4" thickTop="1">
      <c r="A27" s="896" t="s">
        <v>93</v>
      </c>
      <c r="B27" s="21" t="e">
        <f>D27/'Units &amp; Income'!C23</f>
        <v>#DIV/0!</v>
      </c>
      <c r="C27" s="17" t="s">
        <v>18</v>
      </c>
      <c r="D27" s="14">
        <f>'M and O'!C35</f>
        <v>0</v>
      </c>
      <c r="E27" s="330"/>
      <c r="F27" s="2"/>
      <c r="G27" s="376"/>
      <c r="H27" s="377" t="s">
        <v>391</v>
      </c>
      <c r="I27" s="346" t="s">
        <v>380</v>
      </c>
      <c r="J27" s="751" t="s">
        <v>381</v>
      </c>
      <c r="K27" s="751" t="s">
        <v>382</v>
      </c>
      <c r="L27" s="346"/>
      <c r="M27" s="421"/>
      <c r="N27" s="152"/>
      <c r="O27" s="152"/>
      <c r="P27" s="152"/>
      <c r="Q27" s="152"/>
      <c r="R27" s="152"/>
      <c r="S27" s="152"/>
      <c r="T27" s="152"/>
    </row>
    <row r="28" spans="1:20">
      <c r="A28" s="309" t="s">
        <v>25</v>
      </c>
      <c r="B28" s="7" t="e">
        <f ca="1">SUM(B25:B27)</f>
        <v>#DIV/0!</v>
      </c>
      <c r="C28" s="16" t="s">
        <v>18</v>
      </c>
      <c r="D28" s="297" t="e">
        <f ca="1">SUM(D25:D27)</f>
        <v>#DIV/0!</v>
      </c>
      <c r="E28" s="330"/>
      <c r="H28" s="363"/>
      <c r="I28" s="566"/>
      <c r="J28" s="363"/>
      <c r="K28" s="363"/>
      <c r="M28" s="421"/>
      <c r="N28" s="152"/>
      <c r="O28" s="152"/>
      <c r="P28" s="152"/>
      <c r="Q28" s="152"/>
      <c r="R28" s="152"/>
      <c r="S28" s="152"/>
      <c r="T28" s="152"/>
    </row>
    <row r="29" spans="1:20">
      <c r="A29" s="311"/>
      <c r="D29" s="298"/>
      <c r="E29" s="330"/>
      <c r="F29" s="314"/>
      <c r="G29" s="28"/>
      <c r="H29" s="346" t="s">
        <v>33</v>
      </c>
      <c r="I29" s="750" t="s">
        <v>34</v>
      </c>
      <c r="J29" s="346" t="s">
        <v>237</v>
      </c>
      <c r="K29" s="379" t="s">
        <v>238</v>
      </c>
      <c r="L29" s="346" t="s">
        <v>1</v>
      </c>
      <c r="M29" s="390"/>
    </row>
    <row r="30" spans="1:20">
      <c r="A30" s="311"/>
      <c r="D30" s="298"/>
      <c r="E30" s="330"/>
      <c r="F30" s="28"/>
      <c r="G30" s="28"/>
      <c r="H30" s="609" t="e">
        <f ca="1">-PV(H31/12,H32*12,(D36-I36-J36-K36)/12,H34)-H28</f>
        <v>#DIV/0!</v>
      </c>
      <c r="I30" s="572">
        <f>H41*('Units &amp; Income'!C23-SUM('Units &amp; Income'!I110:I113))</f>
        <v>0</v>
      </c>
      <c r="J30" s="573">
        <f>H42*('Units &amp; Income'!C23-SUM('Units &amp; Income'!I110:I113))</f>
        <v>0</v>
      </c>
      <c r="K30" s="574">
        <f>H43*('Units &amp; Income'!C23-SUM('Units &amp; Income'!I110:I113))</f>
        <v>0</v>
      </c>
      <c r="L30" s="29" t="e">
        <f ca="1">I30+H30+J30+K30</f>
        <v>#DIV/0!</v>
      </c>
      <c r="M30" s="390"/>
    </row>
    <row r="31" spans="1:20">
      <c r="A31" s="302" t="s">
        <v>38</v>
      </c>
      <c r="B31" s="16"/>
      <c r="C31" s="16"/>
      <c r="D31" s="297" t="e">
        <f ca="1">D22-D28</f>
        <v>#DIV/0!</v>
      </c>
      <c r="E31" s="330"/>
      <c r="F31" s="172"/>
      <c r="G31" s="129" t="s">
        <v>149</v>
      </c>
      <c r="H31" s="378">
        <f>K11</f>
        <v>0</v>
      </c>
      <c r="I31" s="363"/>
      <c r="J31" s="363"/>
      <c r="K31" s="363"/>
      <c r="L31" s="172"/>
      <c r="M31" s="390"/>
    </row>
    <row r="32" spans="1:20">
      <c r="A32" s="311"/>
      <c r="D32" s="298"/>
      <c r="E32" s="330"/>
      <c r="F32" s="28"/>
      <c r="G32" s="360" t="s">
        <v>37</v>
      </c>
      <c r="H32" s="361"/>
      <c r="I32" s="361"/>
      <c r="J32" s="362"/>
      <c r="K32" s="362"/>
      <c r="L32" s="29"/>
      <c r="M32" s="390"/>
    </row>
    <row r="33" spans="1:14">
      <c r="A33" s="310"/>
      <c r="B33" s="17"/>
      <c r="C33" s="17"/>
      <c r="D33" s="14"/>
      <c r="E33" s="330"/>
      <c r="F33" s="128" t="s">
        <v>168</v>
      </c>
      <c r="G33" s="128" t="s">
        <v>165</v>
      </c>
      <c r="H33" s="29" t="e">
        <f ca="1">H30-H3</f>
        <v>#DIV/0!</v>
      </c>
      <c r="I33" s="29">
        <f>SECOND-I34</f>
        <v>0</v>
      </c>
      <c r="J33" s="29">
        <f>J30-J34</f>
        <v>0</v>
      </c>
      <c r="K33" s="29">
        <f>K30-K34</f>
        <v>0</v>
      </c>
      <c r="L33" s="130"/>
      <c r="M33" s="390"/>
      <c r="N33" s="546"/>
    </row>
    <row r="34" spans="1:14">
      <c r="A34" s="310" t="s">
        <v>40</v>
      </c>
      <c r="B34" s="17"/>
      <c r="C34" s="17"/>
      <c r="D34" s="14" t="e">
        <f ca="1">(+D22/1.05)-(D28)</f>
        <v>#DIV/0!</v>
      </c>
      <c r="E34" s="330"/>
      <c r="F34" s="28"/>
      <c r="G34" s="128" t="s">
        <v>39</v>
      </c>
      <c r="H34" s="29">
        <v>0</v>
      </c>
      <c r="I34" s="29">
        <f>-FV(I31/12,I32*12,-(I36/12),SECOND)</f>
        <v>0</v>
      </c>
      <c r="J34" s="29">
        <f>-FV(J31/12, J32*12, -J36/12, J30)</f>
        <v>0</v>
      </c>
      <c r="K34" s="29">
        <f>-FV(K31/12, K32*12, -K36/12, K30)</f>
        <v>0</v>
      </c>
      <c r="L34" s="130"/>
      <c r="M34" s="390"/>
    </row>
    <row r="35" spans="1:14">
      <c r="A35" s="564" t="s">
        <v>389</v>
      </c>
      <c r="B35" s="235"/>
      <c r="D35" s="298"/>
      <c r="E35" s="330"/>
      <c r="F35" s="172"/>
      <c r="G35" s="128" t="s">
        <v>166</v>
      </c>
      <c r="H35" s="131" t="e">
        <f ca="1">H34/FIRST</f>
        <v>#DIV/0!</v>
      </c>
      <c r="I35" s="131" t="e">
        <f>I34/I30</f>
        <v>#DIV/0!</v>
      </c>
      <c r="J35" s="131" t="e">
        <f>J34/J30</f>
        <v>#DIV/0!</v>
      </c>
      <c r="K35" s="131" t="e">
        <f>K34/K30</f>
        <v>#DIV/0!</v>
      </c>
      <c r="L35" s="172"/>
      <c r="M35" s="553"/>
    </row>
    <row r="36" spans="1:14">
      <c r="A36" s="329" t="s">
        <v>64</v>
      </c>
      <c r="B36" s="344"/>
      <c r="D36" s="14" t="e">
        <f ca="1">NOI/B36</f>
        <v>#DIV/0!</v>
      </c>
      <c r="E36" s="330"/>
      <c r="F36" s="132"/>
      <c r="G36" s="128" t="s">
        <v>41</v>
      </c>
      <c r="H36" s="216" t="e">
        <f ca="1">PMT(H31/12, H32*12, -FIRST, 0)*12</f>
        <v>#DIV/0!</v>
      </c>
      <c r="I36" s="216">
        <f>SECOND*I28</f>
        <v>0</v>
      </c>
      <c r="J36" s="216">
        <f>+J30*J28</f>
        <v>0</v>
      </c>
      <c r="K36" s="216">
        <f>+K30*K28</f>
        <v>0</v>
      </c>
      <c r="L36" s="216" t="e">
        <f ca="1">SUM(H36:J36)</f>
        <v>#DIV/0!</v>
      </c>
      <c r="M36" s="554"/>
    </row>
    <row r="37" spans="1:14">
      <c r="A37" s="312" t="s">
        <v>76</v>
      </c>
      <c r="D37" s="299" t="e">
        <f ca="1">D22/(D28+D36)</f>
        <v>#DIV/0!</v>
      </c>
      <c r="E37" s="18"/>
      <c r="F37" s="331"/>
      <c r="G37" s="332" t="s">
        <v>167</v>
      </c>
      <c r="H37" s="333" t="e">
        <f ca="1">NOI/H36</f>
        <v>#DIV/0!</v>
      </c>
      <c r="I37" s="333" t="e">
        <f ca="1">NOI/(I36+H36)</f>
        <v>#DIV/0!</v>
      </c>
      <c r="J37" s="333" t="e">
        <f ca="1">NOI/(J36+I36+H36)</f>
        <v>#DIV/0!</v>
      </c>
      <c r="K37" s="333" t="e">
        <f ca="1">NOI/(K36+J36+I36)</f>
        <v>#DIV/0!</v>
      </c>
      <c r="L37" s="552" t="e">
        <f ca="1">NOI/L36</f>
        <v>#DIV/0!</v>
      </c>
      <c r="M37" s="390"/>
    </row>
    <row r="38" spans="1:14">
      <c r="A38" s="565" t="s">
        <v>390</v>
      </c>
      <c r="B38" s="235"/>
      <c r="D38" s="298"/>
      <c r="E38" s="18"/>
      <c r="L38" s="2"/>
    </row>
    <row r="39" spans="1:14">
      <c r="A39" s="329" t="s">
        <v>64</v>
      </c>
      <c r="B39" s="345"/>
      <c r="D39" s="14" t="e">
        <f ca="1">D31/B39</f>
        <v>#DIV/0!</v>
      </c>
      <c r="E39" s="18"/>
      <c r="J39" s="32"/>
      <c r="L39" s="5"/>
      <c r="M39" s="2"/>
      <c r="N39" s="2"/>
    </row>
    <row r="40" spans="1:14">
      <c r="A40" s="313" t="s">
        <v>76</v>
      </c>
      <c r="B40" s="18"/>
      <c r="C40" s="18"/>
      <c r="D40" s="299" t="e">
        <f ca="1">D22/(D28+D39)</f>
        <v>#DIV/0!</v>
      </c>
      <c r="E40" s="18"/>
      <c r="G40" s="340" t="s">
        <v>197</v>
      </c>
      <c r="H40" s="28"/>
      <c r="I40" s="130"/>
      <c r="J40" s="130"/>
      <c r="K40" s="29"/>
      <c r="L40" s="2"/>
      <c r="M40" s="2"/>
      <c r="N40" s="5"/>
    </row>
    <row r="41" spans="1:14">
      <c r="A41" s="314"/>
      <c r="B41" s="2"/>
      <c r="C41" s="2"/>
      <c r="D41" s="300"/>
      <c r="E41" s="2"/>
      <c r="F41" s="346" t="s">
        <v>34</v>
      </c>
      <c r="G41" s="28" t="s">
        <v>328</v>
      </c>
      <c r="H41" s="757"/>
      <c r="I41" s="133" t="s">
        <v>42</v>
      </c>
      <c r="J41" s="130"/>
      <c r="K41" s="29"/>
      <c r="L41" s="2"/>
      <c r="M41" s="2"/>
      <c r="N41" s="5"/>
    </row>
    <row r="42" spans="1:14">
      <c r="A42" s="315"/>
      <c r="B42" s="316"/>
      <c r="C42" s="316"/>
      <c r="D42" s="317"/>
      <c r="E42" s="2"/>
      <c r="F42" s="346" t="s">
        <v>237</v>
      </c>
      <c r="G42" s="2" t="s">
        <v>328</v>
      </c>
      <c r="H42" s="341"/>
      <c r="I42" s="133" t="s">
        <v>42</v>
      </c>
      <c r="J42" s="5"/>
      <c r="K42" s="2"/>
      <c r="L42" s="2"/>
      <c r="M42" s="2"/>
      <c r="N42" s="5"/>
    </row>
    <row r="43" spans="1:14">
      <c r="A43" s="23"/>
      <c r="B43" s="2"/>
      <c r="C43" s="13"/>
      <c r="D43" s="2"/>
      <c r="E43" s="2"/>
      <c r="F43" s="379" t="s">
        <v>238</v>
      </c>
      <c r="G43" s="2" t="s">
        <v>328</v>
      </c>
      <c r="H43" s="341"/>
      <c r="I43" s="10"/>
      <c r="J43" s="555"/>
      <c r="K43" s="555"/>
      <c r="L43" s="555"/>
      <c r="M43" s="555"/>
      <c r="N43" s="555"/>
    </row>
    <row r="44" spans="1:14">
      <c r="E44" s="23"/>
      <c r="H44" s="214"/>
      <c r="I44" s="557"/>
      <c r="J44" s="558"/>
      <c r="K44" s="558"/>
      <c r="L44" s="558"/>
      <c r="M44" s="558"/>
      <c r="N44" s="558"/>
    </row>
    <row r="45" spans="1:14">
      <c r="K45" s="32"/>
      <c r="L45" s="32"/>
      <c r="M45" s="32"/>
      <c r="N45" s="32"/>
    </row>
    <row r="46" spans="1:14">
      <c r="J46" s="556"/>
      <c r="K46" s="556"/>
      <c r="L46" s="556"/>
      <c r="M46" s="556"/>
      <c r="N46" s="556"/>
    </row>
  </sheetData>
  <customSheetViews>
    <customSheetView guid="{560D4AFA-61E5-46C3-B0CD-D0EB3053A033}" scale="75" colorId="22" showPageBreaks="1" fitToPage="1" printArea="1" showRuler="0" topLeftCell="B10">
      <selection activeCell="H36" sqref="H36"/>
      <pageMargins left="0.75" right="0.5" top="0.75" bottom="0.5" header="0.5" footer="0.5"/>
      <pageSetup scale="64" orientation="landscape" r:id="rId1"/>
      <headerFooter alignWithMargins="0"/>
    </customSheetView>
    <customSheetView guid="{1ECE83C7-A3CE-4F97-BFD3-498FF783C0D9}" scale="75" colorId="22" showPageBreaks="1" fitToPage="1" printArea="1" showRuler="0" topLeftCell="A13">
      <selection activeCell="H29" sqref="H29"/>
      <pageMargins left="0.75" right="0.5" top="0.75" bottom="0.5" header="0.5" footer="0.5"/>
      <pageSetup scale="64" orientation="landscape" r:id="rId2"/>
      <headerFooter alignWithMargins="0"/>
    </customSheetView>
    <customSheetView guid="{6EF643BE-69F3-424E-8A44-3890161370D4}" scale="75" colorId="22" showPageBreaks="1" fitToPage="1" printArea="1" showRuler="0" topLeftCell="D19">
      <selection activeCell="H30" sqref="H30"/>
      <pageMargins left="0.5" right="0.5" top="0.5" bottom="0" header="0.5" footer="0.5"/>
      <pageSetup scale="62" orientation="landscape" r:id="rId3"/>
      <headerFooter alignWithMargins="0"/>
    </customSheetView>
    <customSheetView guid="{FBB4BF8E-8A9F-4E98-A6F9-5F9BF4C55C67}" scale="75" colorId="22" showPageBreaks="1" fitToPage="1" printArea="1" showRuler="0" topLeftCell="F20">
      <selection activeCell="H28" sqref="H28"/>
      <pageMargins left="0.5" right="0.5" top="0.5" bottom="0" header="0.5" footer="0.5"/>
      <pageSetup scale="63" orientation="landscape" r:id="rId4"/>
      <headerFooter alignWithMargins="0"/>
    </customSheetView>
    <customSheetView guid="{EB776EFC-3589-4DB5-BEAF-1E83D9703F9E}" scale="75" colorId="22" fitToPage="1" showRuler="0" topLeftCell="F20">
      <selection activeCell="H39" sqref="H39"/>
      <pageMargins left="0.5" right="0.5" top="0.5" bottom="0" header="0.5" footer="0.5"/>
      <pageSetup scale="63" orientation="landscape" r:id="rId5"/>
      <headerFooter alignWithMargins="0"/>
    </customSheetView>
    <customSheetView guid="{AEA5979F-5357-4ED6-A6CA-1BB80F5C7A74}" scale="75" colorId="22" showPageBreaks="1" fitToPage="1" printArea="1" showRuler="0" topLeftCell="C7">
      <selection activeCell="J36" sqref="J36"/>
      <pageMargins left="0.5" right="0.5" top="0.5" bottom="0" header="0.5" footer="0.5"/>
      <pageSetup scale="62" orientation="landscape" r:id="rId6"/>
      <headerFooter alignWithMargins="0"/>
    </customSheetView>
    <customSheetView guid="{28F81D13-D146-4D67-8981-BA5D7A496326}" scale="75" colorId="22" showPageBreaks="1" fitToPage="1" printArea="1" showRuler="0" topLeftCell="F20">
      <selection activeCell="A11" sqref="A11"/>
      <pageMargins left="0.5" right="0.5" top="0.5" bottom="0" header="0.5" footer="0.5"/>
      <pageSetup scale="62" orientation="landscape" r:id="rId7"/>
      <headerFooter alignWithMargins="0"/>
    </customSheetView>
    <customSheetView guid="{25C4E7E7-1006-4A2D-BC83-AEE4ADF8A914}" scale="75" colorId="22" showPageBreaks="1" fitToPage="1" printArea="1" showRuler="0" topLeftCell="B22">
      <selection activeCell="H30" sqref="H30"/>
      <pageMargins left="0.75" right="0.5" top="0.75" bottom="0.5" header="0.5" footer="0.5"/>
      <pageSetup scale="64" orientation="landscape" r:id="rId8"/>
      <headerFooter alignWithMargins="0"/>
    </customSheetView>
  </customSheetViews>
  <phoneticPr fontId="0" type="noConversion"/>
  <pageMargins left="0.75" right="0.5" top="0.75" bottom="0.5" header="0.5" footer="0.5"/>
  <pageSetup scale="53" firstPageNumber="211" orientation="landscape" useFirstPageNumber="1" r:id="rId9"/>
  <headerFooter alignWithMargins="0"/>
  <legacy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35"/>
  <sheetViews>
    <sheetView zoomScale="85" zoomScaleNormal="85" zoomScaleSheetLayoutView="55" workbookViewId="0"/>
  </sheetViews>
  <sheetFormatPr defaultRowHeight="15"/>
  <cols>
    <col min="1" max="1" width="36" customWidth="1"/>
    <col min="2" max="2" width="9.33203125" customWidth="1"/>
    <col min="3" max="14" width="12.77734375" style="136" customWidth="1"/>
    <col min="15" max="32" width="12.77734375" customWidth="1"/>
  </cols>
  <sheetData>
    <row r="1" spans="1:37">
      <c r="A1" s="1" t="str">
        <f>'Units &amp; Income'!B1</f>
        <v xml:space="preserve">Project Name: </v>
      </c>
      <c r="M1" s="412"/>
      <c r="N1" s="412"/>
    </row>
    <row r="2" spans="1:37">
      <c r="A2" s="1" t="str">
        <f>'Sources and Use'!A2</f>
        <v>Site:</v>
      </c>
      <c r="M2" s="412" t="str">
        <f>'Sources and Use'!C2</f>
        <v>Units:</v>
      </c>
      <c r="N2" s="412">
        <f>'Units &amp; Income'!C23</f>
        <v>0</v>
      </c>
    </row>
    <row r="3" spans="1:37">
      <c r="A3" s="1"/>
    </row>
    <row r="4" spans="1:37">
      <c r="A4" s="1"/>
    </row>
    <row r="5" spans="1:37">
      <c r="A5" s="1"/>
    </row>
    <row r="6" spans="1:37" s="127" customFormat="1">
      <c r="B6" s="127" t="s">
        <v>169</v>
      </c>
      <c r="C6" s="141" t="s">
        <v>81</v>
      </c>
      <c r="D6" s="141" t="s">
        <v>82</v>
      </c>
      <c r="E6" s="141" t="s">
        <v>83</v>
      </c>
      <c r="F6" s="141" t="s">
        <v>84</v>
      </c>
      <c r="G6" s="141" t="s">
        <v>85</v>
      </c>
      <c r="H6" s="141" t="s">
        <v>86</v>
      </c>
      <c r="I6" s="141" t="s">
        <v>87</v>
      </c>
      <c r="J6" s="141" t="s">
        <v>88</v>
      </c>
      <c r="K6" s="141" t="s">
        <v>89</v>
      </c>
      <c r="L6" s="141" t="s">
        <v>90</v>
      </c>
      <c r="M6" s="141" t="s">
        <v>114</v>
      </c>
      <c r="N6" s="141" t="s">
        <v>115</v>
      </c>
      <c r="O6" s="141" t="s">
        <v>464</v>
      </c>
      <c r="P6" s="141" t="s">
        <v>465</v>
      </c>
      <c r="Q6" s="141" t="s">
        <v>466</v>
      </c>
      <c r="R6" s="141" t="s">
        <v>479</v>
      </c>
      <c r="S6" s="141" t="s">
        <v>480</v>
      </c>
      <c r="T6" s="141" t="s">
        <v>481</v>
      </c>
      <c r="U6" s="141" t="s">
        <v>482</v>
      </c>
      <c r="V6" s="141" t="s">
        <v>483</v>
      </c>
      <c r="W6" s="141" t="s">
        <v>484</v>
      </c>
      <c r="X6" s="141" t="s">
        <v>485</v>
      </c>
      <c r="Y6" s="141" t="s">
        <v>486</v>
      </c>
      <c r="Z6" s="141" t="s">
        <v>487</v>
      </c>
      <c r="AA6" s="141" t="s">
        <v>488</v>
      </c>
      <c r="AB6" s="141" t="s">
        <v>489</v>
      </c>
      <c r="AC6" s="141" t="s">
        <v>490</v>
      </c>
      <c r="AD6" s="141" t="s">
        <v>491</v>
      </c>
      <c r="AE6" s="141" t="s">
        <v>492</v>
      </c>
      <c r="AF6" s="141" t="s">
        <v>493</v>
      </c>
    </row>
    <row r="7" spans="1:37" s="127" customFormat="1">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row>
    <row r="8" spans="1:37" s="127" customFormat="1">
      <c r="A8" s="140" t="s">
        <v>170</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row>
    <row r="9" spans="1:37">
      <c r="A9" s="127" t="s">
        <v>123</v>
      </c>
      <c r="B9" s="139">
        <v>0.02</v>
      </c>
      <c r="C9" s="136">
        <f>Mort!D11</f>
        <v>0</v>
      </c>
      <c r="D9" s="136">
        <f>C9*(1+$B9)</f>
        <v>0</v>
      </c>
      <c r="E9" s="136">
        <f t="shared" ref="E9:Q9" si="0">D9*(1+$B9)</f>
        <v>0</v>
      </c>
      <c r="F9" s="136">
        <f t="shared" si="0"/>
        <v>0</v>
      </c>
      <c r="G9" s="136">
        <f t="shared" si="0"/>
        <v>0</v>
      </c>
      <c r="H9" s="136">
        <f t="shared" si="0"/>
        <v>0</v>
      </c>
      <c r="I9" s="136">
        <f t="shared" si="0"/>
        <v>0</v>
      </c>
      <c r="J9" s="136">
        <f t="shared" si="0"/>
        <v>0</v>
      </c>
      <c r="K9" s="136">
        <f t="shared" si="0"/>
        <v>0</v>
      </c>
      <c r="L9" s="136">
        <f t="shared" si="0"/>
        <v>0</v>
      </c>
      <c r="M9" s="136">
        <f t="shared" si="0"/>
        <v>0</v>
      </c>
      <c r="N9" s="136">
        <f t="shared" si="0"/>
        <v>0</v>
      </c>
      <c r="O9" s="136">
        <f t="shared" si="0"/>
        <v>0</v>
      </c>
      <c r="P9" s="136">
        <f t="shared" si="0"/>
        <v>0</v>
      </c>
      <c r="Q9" s="136">
        <f t="shared" si="0"/>
        <v>0</v>
      </c>
      <c r="R9" s="136">
        <f t="shared" ref="R9:AF9" si="1">Q9*(1+$B9)</f>
        <v>0</v>
      </c>
      <c r="S9" s="136">
        <f t="shared" si="1"/>
        <v>0</v>
      </c>
      <c r="T9" s="136">
        <f t="shared" si="1"/>
        <v>0</v>
      </c>
      <c r="U9" s="136">
        <f t="shared" si="1"/>
        <v>0</v>
      </c>
      <c r="V9" s="136">
        <f t="shared" si="1"/>
        <v>0</v>
      </c>
      <c r="W9" s="136">
        <f t="shared" si="1"/>
        <v>0</v>
      </c>
      <c r="X9" s="136">
        <f t="shared" si="1"/>
        <v>0</v>
      </c>
      <c r="Y9" s="136">
        <f t="shared" si="1"/>
        <v>0</v>
      </c>
      <c r="Z9" s="136">
        <f t="shared" si="1"/>
        <v>0</v>
      </c>
      <c r="AA9" s="136">
        <f t="shared" si="1"/>
        <v>0</v>
      </c>
      <c r="AB9" s="136">
        <f t="shared" si="1"/>
        <v>0</v>
      </c>
      <c r="AC9" s="136">
        <f t="shared" si="1"/>
        <v>0</v>
      </c>
      <c r="AD9" s="136">
        <f t="shared" si="1"/>
        <v>0</v>
      </c>
      <c r="AE9" s="136">
        <f t="shared" si="1"/>
        <v>0</v>
      </c>
      <c r="AF9" s="136">
        <f t="shared" si="1"/>
        <v>0</v>
      </c>
      <c r="AG9" s="34"/>
      <c r="AH9" s="34"/>
      <c r="AI9" s="34"/>
      <c r="AJ9" s="34"/>
      <c r="AK9" s="34"/>
    </row>
    <row r="10" spans="1:37">
      <c r="A10" s="127" t="s">
        <v>104</v>
      </c>
      <c r="B10" s="139">
        <v>0.02</v>
      </c>
      <c r="C10" s="136">
        <f>Mort!D13+Mort!D17</f>
        <v>0</v>
      </c>
      <c r="D10" s="136">
        <f>C10*(1+$B10)</f>
        <v>0</v>
      </c>
      <c r="E10" s="136">
        <f t="shared" ref="E10:Q10" si="2">D10*(1+$B10)</f>
        <v>0</v>
      </c>
      <c r="F10" s="136">
        <f t="shared" si="2"/>
        <v>0</v>
      </c>
      <c r="G10" s="136">
        <f t="shared" si="2"/>
        <v>0</v>
      </c>
      <c r="H10" s="136">
        <f t="shared" si="2"/>
        <v>0</v>
      </c>
      <c r="I10" s="136">
        <f t="shared" si="2"/>
        <v>0</v>
      </c>
      <c r="J10" s="136">
        <f t="shared" si="2"/>
        <v>0</v>
      </c>
      <c r="K10" s="136">
        <f t="shared" si="2"/>
        <v>0</v>
      </c>
      <c r="L10" s="136">
        <f t="shared" si="2"/>
        <v>0</v>
      </c>
      <c r="M10" s="136">
        <f t="shared" si="2"/>
        <v>0</v>
      </c>
      <c r="N10" s="136">
        <f t="shared" si="2"/>
        <v>0</v>
      </c>
      <c r="O10" s="136">
        <f t="shared" si="2"/>
        <v>0</v>
      </c>
      <c r="P10" s="136">
        <f t="shared" si="2"/>
        <v>0</v>
      </c>
      <c r="Q10" s="136">
        <f t="shared" si="2"/>
        <v>0</v>
      </c>
      <c r="R10" s="136">
        <f t="shared" ref="R10:AF10" si="3">Q10*(1+$B10)</f>
        <v>0</v>
      </c>
      <c r="S10" s="136">
        <f t="shared" si="3"/>
        <v>0</v>
      </c>
      <c r="T10" s="136">
        <f t="shared" si="3"/>
        <v>0</v>
      </c>
      <c r="U10" s="136">
        <f t="shared" si="3"/>
        <v>0</v>
      </c>
      <c r="V10" s="136">
        <f t="shared" si="3"/>
        <v>0</v>
      </c>
      <c r="W10" s="136">
        <f t="shared" si="3"/>
        <v>0</v>
      </c>
      <c r="X10" s="136">
        <f t="shared" si="3"/>
        <v>0</v>
      </c>
      <c r="Y10" s="136">
        <f t="shared" si="3"/>
        <v>0</v>
      </c>
      <c r="Z10" s="136">
        <f t="shared" si="3"/>
        <v>0</v>
      </c>
      <c r="AA10" s="136">
        <f t="shared" si="3"/>
        <v>0</v>
      </c>
      <c r="AB10" s="136">
        <f t="shared" si="3"/>
        <v>0</v>
      </c>
      <c r="AC10" s="136">
        <f t="shared" si="3"/>
        <v>0</v>
      </c>
      <c r="AD10" s="136">
        <f t="shared" si="3"/>
        <v>0</v>
      </c>
      <c r="AE10" s="136">
        <f t="shared" si="3"/>
        <v>0</v>
      </c>
      <c r="AF10" s="136">
        <f t="shared" si="3"/>
        <v>0</v>
      </c>
    </row>
    <row r="11" spans="1:37">
      <c r="A11" s="127" t="s">
        <v>121</v>
      </c>
      <c r="B11" s="139">
        <v>0.02</v>
      </c>
      <c r="C11" s="136">
        <f>Mort!D14+Mort!D18</f>
        <v>0</v>
      </c>
      <c r="D11" s="136">
        <f t="shared" ref="D11:Q13" si="4">C11*(1+$B11)</f>
        <v>0</v>
      </c>
      <c r="E11" s="136">
        <f t="shared" si="4"/>
        <v>0</v>
      </c>
      <c r="F11" s="136">
        <f t="shared" si="4"/>
        <v>0</v>
      </c>
      <c r="G11" s="136">
        <f t="shared" si="4"/>
        <v>0</v>
      </c>
      <c r="H11" s="136">
        <f t="shared" si="4"/>
        <v>0</v>
      </c>
      <c r="I11" s="136">
        <f t="shared" si="4"/>
        <v>0</v>
      </c>
      <c r="J11" s="136">
        <f t="shared" si="4"/>
        <v>0</v>
      </c>
      <c r="K11" s="136">
        <f t="shared" si="4"/>
        <v>0</v>
      </c>
      <c r="L11" s="136">
        <f t="shared" si="4"/>
        <v>0</v>
      </c>
      <c r="M11" s="136">
        <f t="shared" si="4"/>
        <v>0</v>
      </c>
      <c r="N11" s="136">
        <f t="shared" si="4"/>
        <v>0</v>
      </c>
      <c r="O11" s="136">
        <f t="shared" si="4"/>
        <v>0</v>
      </c>
      <c r="P11" s="136">
        <f t="shared" si="4"/>
        <v>0</v>
      </c>
      <c r="Q11" s="136">
        <f t="shared" si="4"/>
        <v>0</v>
      </c>
      <c r="R11" s="136">
        <f t="shared" ref="R11:AF11" si="5">Q11*(1+$B11)</f>
        <v>0</v>
      </c>
      <c r="S11" s="136">
        <f t="shared" si="5"/>
        <v>0</v>
      </c>
      <c r="T11" s="136">
        <f t="shared" si="5"/>
        <v>0</v>
      </c>
      <c r="U11" s="136">
        <f t="shared" si="5"/>
        <v>0</v>
      </c>
      <c r="V11" s="136">
        <f t="shared" si="5"/>
        <v>0</v>
      </c>
      <c r="W11" s="136">
        <f t="shared" si="5"/>
        <v>0</v>
      </c>
      <c r="X11" s="136">
        <f t="shared" si="5"/>
        <v>0</v>
      </c>
      <c r="Y11" s="136">
        <f t="shared" si="5"/>
        <v>0</v>
      </c>
      <c r="Z11" s="136">
        <f t="shared" si="5"/>
        <v>0</v>
      </c>
      <c r="AA11" s="136">
        <f t="shared" si="5"/>
        <v>0</v>
      </c>
      <c r="AB11" s="136">
        <f t="shared" si="5"/>
        <v>0</v>
      </c>
      <c r="AC11" s="136">
        <f t="shared" si="5"/>
        <v>0</v>
      </c>
      <c r="AD11" s="136">
        <f t="shared" si="5"/>
        <v>0</v>
      </c>
      <c r="AE11" s="136">
        <f t="shared" si="5"/>
        <v>0</v>
      </c>
      <c r="AF11" s="136">
        <f t="shared" si="5"/>
        <v>0</v>
      </c>
      <c r="AG11" s="34"/>
      <c r="AH11" s="34"/>
      <c r="AI11" s="34"/>
      <c r="AJ11" s="34"/>
      <c r="AK11" s="34"/>
    </row>
    <row r="12" spans="1:37">
      <c r="A12" s="127" t="s">
        <v>155</v>
      </c>
      <c r="B12" s="139">
        <v>0.02</v>
      </c>
      <c r="C12" s="136">
        <f>Mort!D15+Mort!D19</f>
        <v>0</v>
      </c>
      <c r="D12" s="136">
        <f t="shared" si="4"/>
        <v>0</v>
      </c>
      <c r="E12" s="136">
        <f t="shared" si="4"/>
        <v>0</v>
      </c>
      <c r="F12" s="136">
        <f t="shared" si="4"/>
        <v>0</v>
      </c>
      <c r="G12" s="136">
        <f t="shared" si="4"/>
        <v>0</v>
      </c>
      <c r="H12" s="136">
        <f t="shared" si="4"/>
        <v>0</v>
      </c>
      <c r="I12" s="136">
        <f t="shared" si="4"/>
        <v>0</v>
      </c>
      <c r="J12" s="136">
        <f t="shared" si="4"/>
        <v>0</v>
      </c>
      <c r="K12" s="136">
        <f t="shared" si="4"/>
        <v>0</v>
      </c>
      <c r="L12" s="136">
        <f t="shared" si="4"/>
        <v>0</v>
      </c>
      <c r="M12" s="136">
        <f t="shared" si="4"/>
        <v>0</v>
      </c>
      <c r="N12" s="136">
        <f t="shared" si="4"/>
        <v>0</v>
      </c>
      <c r="O12" s="136">
        <f t="shared" si="4"/>
        <v>0</v>
      </c>
      <c r="P12" s="136">
        <f t="shared" si="4"/>
        <v>0</v>
      </c>
      <c r="Q12" s="136">
        <f t="shared" si="4"/>
        <v>0</v>
      </c>
      <c r="R12" s="136">
        <f t="shared" ref="R12:AF12" si="6">Q12*(1+$B12)</f>
        <v>0</v>
      </c>
      <c r="S12" s="136">
        <f t="shared" si="6"/>
        <v>0</v>
      </c>
      <c r="T12" s="136">
        <f t="shared" si="6"/>
        <v>0</v>
      </c>
      <c r="U12" s="136">
        <f t="shared" si="6"/>
        <v>0</v>
      </c>
      <c r="V12" s="136">
        <f t="shared" si="6"/>
        <v>0</v>
      </c>
      <c r="W12" s="136">
        <f t="shared" si="6"/>
        <v>0</v>
      </c>
      <c r="X12" s="136">
        <f t="shared" si="6"/>
        <v>0</v>
      </c>
      <c r="Y12" s="136">
        <f t="shared" si="6"/>
        <v>0</v>
      </c>
      <c r="Z12" s="136">
        <f t="shared" si="6"/>
        <v>0</v>
      </c>
      <c r="AA12" s="136">
        <f t="shared" si="6"/>
        <v>0</v>
      </c>
      <c r="AB12" s="136">
        <f t="shared" si="6"/>
        <v>0</v>
      </c>
      <c r="AC12" s="136">
        <f t="shared" si="6"/>
        <v>0</v>
      </c>
      <c r="AD12" s="136">
        <f t="shared" si="6"/>
        <v>0</v>
      </c>
      <c r="AE12" s="136">
        <f t="shared" si="6"/>
        <v>0</v>
      </c>
      <c r="AF12" s="136">
        <f t="shared" si="6"/>
        <v>0</v>
      </c>
      <c r="AG12" s="34"/>
      <c r="AH12" s="34"/>
      <c r="AI12" s="34"/>
      <c r="AJ12" s="34"/>
      <c r="AK12" s="34"/>
    </row>
    <row r="13" spans="1:37">
      <c r="A13" s="127" t="s">
        <v>110</v>
      </c>
      <c r="B13" s="139">
        <v>0.02</v>
      </c>
      <c r="C13" s="136">
        <f>Mort!D16+Mort!D20</f>
        <v>0</v>
      </c>
      <c r="D13" s="136">
        <f t="shared" si="4"/>
        <v>0</v>
      </c>
      <c r="E13" s="136">
        <f t="shared" si="4"/>
        <v>0</v>
      </c>
      <c r="F13" s="136">
        <f t="shared" si="4"/>
        <v>0</v>
      </c>
      <c r="G13" s="136">
        <f t="shared" si="4"/>
        <v>0</v>
      </c>
      <c r="H13" s="136">
        <f t="shared" si="4"/>
        <v>0</v>
      </c>
      <c r="I13" s="136">
        <f t="shared" si="4"/>
        <v>0</v>
      </c>
      <c r="J13" s="136">
        <f t="shared" si="4"/>
        <v>0</v>
      </c>
      <c r="K13" s="136">
        <f t="shared" si="4"/>
        <v>0</v>
      </c>
      <c r="L13" s="136">
        <f t="shared" si="4"/>
        <v>0</v>
      </c>
      <c r="M13" s="136">
        <f t="shared" si="4"/>
        <v>0</v>
      </c>
      <c r="N13" s="136">
        <f t="shared" si="4"/>
        <v>0</v>
      </c>
      <c r="O13" s="136">
        <f t="shared" si="4"/>
        <v>0</v>
      </c>
      <c r="P13" s="136">
        <f t="shared" si="4"/>
        <v>0</v>
      </c>
      <c r="Q13" s="136">
        <f t="shared" si="4"/>
        <v>0</v>
      </c>
      <c r="R13" s="136">
        <f t="shared" ref="R13:AF13" si="7">Q13*(1+$B13)</f>
        <v>0</v>
      </c>
      <c r="S13" s="136">
        <f t="shared" si="7"/>
        <v>0</v>
      </c>
      <c r="T13" s="136">
        <f t="shared" si="7"/>
        <v>0</v>
      </c>
      <c r="U13" s="136">
        <f t="shared" si="7"/>
        <v>0</v>
      </c>
      <c r="V13" s="136">
        <f t="shared" si="7"/>
        <v>0</v>
      </c>
      <c r="W13" s="136">
        <f t="shared" si="7"/>
        <v>0</v>
      </c>
      <c r="X13" s="136">
        <f t="shared" si="7"/>
        <v>0</v>
      </c>
      <c r="Y13" s="136">
        <f t="shared" si="7"/>
        <v>0</v>
      </c>
      <c r="Z13" s="136">
        <f t="shared" si="7"/>
        <v>0</v>
      </c>
      <c r="AA13" s="136">
        <f t="shared" si="7"/>
        <v>0</v>
      </c>
      <c r="AB13" s="136">
        <f t="shared" si="7"/>
        <v>0</v>
      </c>
      <c r="AC13" s="136">
        <f t="shared" si="7"/>
        <v>0</v>
      </c>
      <c r="AD13" s="136">
        <f t="shared" si="7"/>
        <v>0</v>
      </c>
      <c r="AE13" s="136">
        <f t="shared" si="7"/>
        <v>0</v>
      </c>
      <c r="AF13" s="136">
        <f t="shared" si="7"/>
        <v>0</v>
      </c>
      <c r="AG13" s="34"/>
      <c r="AH13" s="34"/>
      <c r="AI13" s="34"/>
      <c r="AJ13" s="34"/>
      <c r="AK13" s="34"/>
    </row>
    <row r="14" spans="1:37" s="30" customFormat="1">
      <c r="A14" s="110" t="s">
        <v>91</v>
      </c>
      <c r="C14" s="93">
        <f t="shared" ref="C14:N14" si="8">SUM(C9:C13)</f>
        <v>0</v>
      </c>
      <c r="D14" s="93">
        <f t="shared" si="8"/>
        <v>0</v>
      </c>
      <c r="E14" s="93">
        <f t="shared" si="8"/>
        <v>0</v>
      </c>
      <c r="F14" s="93">
        <f t="shared" si="8"/>
        <v>0</v>
      </c>
      <c r="G14" s="93">
        <f t="shared" si="8"/>
        <v>0</v>
      </c>
      <c r="H14" s="93">
        <f t="shared" si="8"/>
        <v>0</v>
      </c>
      <c r="I14" s="93">
        <f t="shared" si="8"/>
        <v>0</v>
      </c>
      <c r="J14" s="93">
        <f t="shared" si="8"/>
        <v>0</v>
      </c>
      <c r="K14" s="93">
        <f t="shared" si="8"/>
        <v>0</v>
      </c>
      <c r="L14" s="93">
        <f t="shared" si="8"/>
        <v>0</v>
      </c>
      <c r="M14" s="93">
        <f t="shared" si="8"/>
        <v>0</v>
      </c>
      <c r="N14" s="93">
        <f t="shared" si="8"/>
        <v>0</v>
      </c>
      <c r="O14" s="93">
        <f>SUM(O9:O13)</f>
        <v>0</v>
      </c>
      <c r="P14" s="93">
        <f>SUM(P9:P13)</f>
        <v>0</v>
      </c>
      <c r="Q14" s="93">
        <f>SUM(Q9:Q13)</f>
        <v>0</v>
      </c>
      <c r="R14" s="93">
        <f t="shared" ref="R14:AF14" si="9">SUM(R9:R13)</f>
        <v>0</v>
      </c>
      <c r="S14" s="93">
        <f t="shared" si="9"/>
        <v>0</v>
      </c>
      <c r="T14" s="93">
        <f t="shared" si="9"/>
        <v>0</v>
      </c>
      <c r="U14" s="93">
        <f t="shared" si="9"/>
        <v>0</v>
      </c>
      <c r="V14" s="93">
        <f t="shared" si="9"/>
        <v>0</v>
      </c>
      <c r="W14" s="93">
        <f t="shared" si="9"/>
        <v>0</v>
      </c>
      <c r="X14" s="93">
        <f t="shared" si="9"/>
        <v>0</v>
      </c>
      <c r="Y14" s="93">
        <f t="shared" si="9"/>
        <v>0</v>
      </c>
      <c r="Z14" s="93">
        <f t="shared" si="9"/>
        <v>0</v>
      </c>
      <c r="AA14" s="93">
        <f t="shared" si="9"/>
        <v>0</v>
      </c>
      <c r="AB14" s="93">
        <f t="shared" si="9"/>
        <v>0</v>
      </c>
      <c r="AC14" s="93">
        <f t="shared" si="9"/>
        <v>0</v>
      </c>
      <c r="AD14" s="93">
        <f t="shared" si="9"/>
        <v>0</v>
      </c>
      <c r="AE14" s="93">
        <f t="shared" si="9"/>
        <v>0</v>
      </c>
      <c r="AF14" s="93">
        <f t="shared" si="9"/>
        <v>0</v>
      </c>
    </row>
    <row r="15" spans="1:37">
      <c r="A15" s="127"/>
      <c r="O15" s="136"/>
      <c r="P15" s="136"/>
      <c r="Q15" s="136"/>
      <c r="R15" s="136"/>
      <c r="S15" s="136"/>
      <c r="T15" s="136"/>
      <c r="U15" s="136"/>
      <c r="V15" s="136"/>
      <c r="W15" s="136"/>
      <c r="X15" s="136"/>
      <c r="Y15" s="136"/>
      <c r="Z15" s="136"/>
      <c r="AA15" s="136"/>
      <c r="AB15" s="136"/>
      <c r="AC15" s="136"/>
      <c r="AD15" s="136"/>
      <c r="AE15" s="136"/>
      <c r="AF15" s="136"/>
    </row>
    <row r="16" spans="1:37">
      <c r="A16" s="140" t="s">
        <v>171</v>
      </c>
      <c r="O16" s="136"/>
      <c r="P16" s="136"/>
      <c r="Q16" s="136"/>
      <c r="R16" s="136"/>
      <c r="S16" s="136"/>
      <c r="T16" s="136"/>
      <c r="U16" s="136"/>
      <c r="V16" s="136"/>
      <c r="W16" s="136"/>
      <c r="X16" s="136"/>
      <c r="Y16" s="136"/>
      <c r="Z16" s="136"/>
      <c r="AA16" s="136"/>
      <c r="AB16" s="136"/>
      <c r="AC16" s="136"/>
      <c r="AD16" s="136"/>
      <c r="AE16" s="136"/>
      <c r="AF16" s="136"/>
    </row>
    <row r="17" spans="1:32">
      <c r="A17" s="127" t="s">
        <v>92</v>
      </c>
      <c r="B17" s="139">
        <v>0.03</v>
      </c>
      <c r="C17" s="136" t="e">
        <f ca="1">Mort!D25+Mort!D26-'M and O'!C12</f>
        <v>#DIV/0!</v>
      </c>
      <c r="D17" s="136" t="e">
        <f t="shared" ref="D17:Q19" ca="1" si="10">C17*(1+$B17)</f>
        <v>#DIV/0!</v>
      </c>
      <c r="E17" s="136" t="e">
        <f t="shared" ca="1" si="10"/>
        <v>#DIV/0!</v>
      </c>
      <c r="F17" s="136" t="e">
        <f t="shared" ca="1" si="10"/>
        <v>#DIV/0!</v>
      </c>
      <c r="G17" s="136" t="e">
        <f t="shared" ca="1" si="10"/>
        <v>#DIV/0!</v>
      </c>
      <c r="H17" s="136" t="e">
        <f t="shared" ca="1" si="10"/>
        <v>#DIV/0!</v>
      </c>
      <c r="I17" s="136" t="e">
        <f t="shared" ca="1" si="10"/>
        <v>#DIV/0!</v>
      </c>
      <c r="J17" s="136" t="e">
        <f t="shared" ca="1" si="10"/>
        <v>#DIV/0!</v>
      </c>
      <c r="K17" s="136" t="e">
        <f t="shared" ca="1" si="10"/>
        <v>#DIV/0!</v>
      </c>
      <c r="L17" s="136" t="e">
        <f t="shared" ca="1" si="10"/>
        <v>#DIV/0!</v>
      </c>
      <c r="M17" s="136" t="e">
        <f t="shared" ca="1" si="10"/>
        <v>#DIV/0!</v>
      </c>
      <c r="N17" s="136" t="e">
        <f t="shared" ca="1" si="10"/>
        <v>#DIV/0!</v>
      </c>
      <c r="O17" s="136" t="e">
        <f t="shared" ca="1" si="10"/>
        <v>#DIV/0!</v>
      </c>
      <c r="P17" s="136" t="e">
        <f t="shared" ca="1" si="10"/>
        <v>#DIV/0!</v>
      </c>
      <c r="Q17" s="136" t="e">
        <f t="shared" ca="1" si="10"/>
        <v>#DIV/0!</v>
      </c>
      <c r="R17" s="136" t="e">
        <f t="shared" ref="R17:AF18" ca="1" si="11">Q17*(1+$B17)</f>
        <v>#DIV/0!</v>
      </c>
      <c r="S17" s="136" t="e">
        <f t="shared" ca="1" si="11"/>
        <v>#DIV/0!</v>
      </c>
      <c r="T17" s="136" t="e">
        <f t="shared" ca="1" si="11"/>
        <v>#DIV/0!</v>
      </c>
      <c r="U17" s="136" t="e">
        <f t="shared" ca="1" si="11"/>
        <v>#DIV/0!</v>
      </c>
      <c r="V17" s="136" t="e">
        <f t="shared" ca="1" si="11"/>
        <v>#DIV/0!</v>
      </c>
      <c r="W17" s="136" t="e">
        <f t="shared" ca="1" si="11"/>
        <v>#DIV/0!</v>
      </c>
      <c r="X17" s="136" t="e">
        <f t="shared" ca="1" si="11"/>
        <v>#DIV/0!</v>
      </c>
      <c r="Y17" s="136" t="e">
        <f t="shared" ca="1" si="11"/>
        <v>#DIV/0!</v>
      </c>
      <c r="Z17" s="136" t="e">
        <f t="shared" ca="1" si="11"/>
        <v>#DIV/0!</v>
      </c>
      <c r="AA17" s="136" t="e">
        <f t="shared" ca="1" si="11"/>
        <v>#DIV/0!</v>
      </c>
      <c r="AB17" s="136" t="e">
        <f t="shared" ca="1" si="11"/>
        <v>#DIV/0!</v>
      </c>
      <c r="AC17" s="136" t="e">
        <f t="shared" ca="1" si="11"/>
        <v>#DIV/0!</v>
      </c>
      <c r="AD17" s="136" t="e">
        <f t="shared" ca="1" si="11"/>
        <v>#DIV/0!</v>
      </c>
      <c r="AE17" s="136" t="e">
        <f t="shared" ca="1" si="11"/>
        <v>#DIV/0!</v>
      </c>
      <c r="AF17" s="136" t="e">
        <f t="shared" ca="1" si="11"/>
        <v>#DIV/0!</v>
      </c>
    </row>
    <row r="18" spans="1:32">
      <c r="A18" s="127" t="s">
        <v>506</v>
      </c>
      <c r="B18" s="139">
        <v>0.02</v>
      </c>
      <c r="C18" s="136">
        <f>'M and O'!C12</f>
        <v>0</v>
      </c>
      <c r="D18" s="136">
        <f t="shared" si="10"/>
        <v>0</v>
      </c>
      <c r="E18" s="136">
        <f t="shared" ref="E18" si="12">D18*(1+$B18)</f>
        <v>0</v>
      </c>
      <c r="F18" s="136">
        <f t="shared" ref="F18" si="13">E18*(1+$B18)</f>
        <v>0</v>
      </c>
      <c r="G18" s="136">
        <f t="shared" ref="G18" si="14">F18*(1+$B18)</f>
        <v>0</v>
      </c>
      <c r="H18" s="136">
        <f t="shared" ref="H18" si="15">G18*(1+$B18)</f>
        <v>0</v>
      </c>
      <c r="I18" s="136">
        <f t="shared" ref="I18" si="16">H18*(1+$B18)</f>
        <v>0</v>
      </c>
      <c r="J18" s="136">
        <f t="shared" ref="J18" si="17">I18*(1+$B18)</f>
        <v>0</v>
      </c>
      <c r="K18" s="136">
        <f t="shared" ref="K18" si="18">J18*(1+$B18)</f>
        <v>0</v>
      </c>
      <c r="L18" s="136">
        <f t="shared" ref="L18" si="19">K18*(1+$B18)</f>
        <v>0</v>
      </c>
      <c r="M18" s="136">
        <f t="shared" ref="M18" si="20">L18*(1+$B18)</f>
        <v>0</v>
      </c>
      <c r="N18" s="136">
        <f t="shared" ref="N18" si="21">M18*(1+$B18)</f>
        <v>0</v>
      </c>
      <c r="O18" s="136">
        <f t="shared" ref="O18" si="22">N18*(1+$B18)</f>
        <v>0</v>
      </c>
      <c r="P18" s="136">
        <f t="shared" ref="P18" si="23">O18*(1+$B18)</f>
        <v>0</v>
      </c>
      <c r="Q18" s="136">
        <f t="shared" ref="Q18" si="24">P18*(1+$B18)</f>
        <v>0</v>
      </c>
      <c r="R18" s="136">
        <f t="shared" si="11"/>
        <v>0</v>
      </c>
      <c r="S18" s="136">
        <f t="shared" si="11"/>
        <v>0</v>
      </c>
      <c r="T18" s="136">
        <f t="shared" si="11"/>
        <v>0</v>
      </c>
      <c r="U18" s="136">
        <f t="shared" si="11"/>
        <v>0</v>
      </c>
      <c r="V18" s="136">
        <f t="shared" si="11"/>
        <v>0</v>
      </c>
      <c r="W18" s="136">
        <f t="shared" si="11"/>
        <v>0</v>
      </c>
      <c r="X18" s="136">
        <f t="shared" si="11"/>
        <v>0</v>
      </c>
      <c r="Y18" s="136">
        <f t="shared" si="11"/>
        <v>0</v>
      </c>
      <c r="Z18" s="136">
        <f t="shared" si="11"/>
        <v>0</v>
      </c>
      <c r="AA18" s="136">
        <f t="shared" si="11"/>
        <v>0</v>
      </c>
      <c r="AB18" s="136">
        <f t="shared" si="11"/>
        <v>0</v>
      </c>
      <c r="AC18" s="136">
        <f t="shared" si="11"/>
        <v>0</v>
      </c>
      <c r="AD18" s="136">
        <f t="shared" si="11"/>
        <v>0</v>
      </c>
      <c r="AE18" s="136">
        <f t="shared" si="11"/>
        <v>0</v>
      </c>
      <c r="AF18" s="136">
        <f t="shared" si="11"/>
        <v>0</v>
      </c>
    </row>
    <row r="19" spans="1:32">
      <c r="A19" s="127" t="s">
        <v>93</v>
      </c>
      <c r="B19" s="139">
        <v>0.03</v>
      </c>
      <c r="C19" s="136">
        <f>Mort!D27</f>
        <v>0</v>
      </c>
      <c r="D19" s="136">
        <f t="shared" si="10"/>
        <v>0</v>
      </c>
      <c r="E19" s="136">
        <f t="shared" si="10"/>
        <v>0</v>
      </c>
      <c r="F19" s="136">
        <f t="shared" si="10"/>
        <v>0</v>
      </c>
      <c r="G19" s="136">
        <f t="shared" si="10"/>
        <v>0</v>
      </c>
      <c r="H19" s="136">
        <f t="shared" si="10"/>
        <v>0</v>
      </c>
      <c r="I19" s="136">
        <f t="shared" si="10"/>
        <v>0</v>
      </c>
      <c r="J19" s="136">
        <f t="shared" si="10"/>
        <v>0</v>
      </c>
      <c r="K19" s="136">
        <f t="shared" si="10"/>
        <v>0</v>
      </c>
      <c r="L19" s="136">
        <f t="shared" si="10"/>
        <v>0</v>
      </c>
      <c r="M19" s="136">
        <f t="shared" si="10"/>
        <v>0</v>
      </c>
      <c r="N19" s="136">
        <f t="shared" si="10"/>
        <v>0</v>
      </c>
      <c r="O19" s="136">
        <f t="shared" si="10"/>
        <v>0</v>
      </c>
      <c r="P19" s="136">
        <f t="shared" si="10"/>
        <v>0</v>
      </c>
      <c r="Q19" s="136">
        <f t="shared" si="10"/>
        <v>0</v>
      </c>
      <c r="R19" s="136">
        <f t="shared" ref="R19:AF19" si="25">Q19*(1+$B19)</f>
        <v>0</v>
      </c>
      <c r="S19" s="136">
        <f t="shared" si="25"/>
        <v>0</v>
      </c>
      <c r="T19" s="136">
        <f t="shared" si="25"/>
        <v>0</v>
      </c>
      <c r="U19" s="136">
        <f t="shared" si="25"/>
        <v>0</v>
      </c>
      <c r="V19" s="136">
        <f t="shared" si="25"/>
        <v>0</v>
      </c>
      <c r="W19" s="136">
        <f t="shared" si="25"/>
        <v>0</v>
      </c>
      <c r="X19" s="136">
        <f t="shared" si="25"/>
        <v>0</v>
      </c>
      <c r="Y19" s="136">
        <f t="shared" si="25"/>
        <v>0</v>
      </c>
      <c r="Z19" s="136">
        <f t="shared" si="25"/>
        <v>0</v>
      </c>
      <c r="AA19" s="136">
        <f t="shared" si="25"/>
        <v>0</v>
      </c>
      <c r="AB19" s="136">
        <f t="shared" si="25"/>
        <v>0</v>
      </c>
      <c r="AC19" s="136">
        <f t="shared" si="25"/>
        <v>0</v>
      </c>
      <c r="AD19" s="136">
        <f t="shared" si="25"/>
        <v>0</v>
      </c>
      <c r="AE19" s="136">
        <f t="shared" si="25"/>
        <v>0</v>
      </c>
      <c r="AF19" s="136">
        <f t="shared" si="25"/>
        <v>0</v>
      </c>
    </row>
    <row r="20" spans="1:32" s="30" customFormat="1">
      <c r="A20" s="110" t="s">
        <v>25</v>
      </c>
      <c r="C20" s="93" t="e">
        <f t="shared" ref="C20:N20" ca="1" si="26">SUM(C17:C19)</f>
        <v>#DIV/0!</v>
      </c>
      <c r="D20" s="93" t="e">
        <f t="shared" ca="1" si="26"/>
        <v>#DIV/0!</v>
      </c>
      <c r="E20" s="93" t="e">
        <f t="shared" ca="1" si="26"/>
        <v>#DIV/0!</v>
      </c>
      <c r="F20" s="93" t="e">
        <f t="shared" ca="1" si="26"/>
        <v>#DIV/0!</v>
      </c>
      <c r="G20" s="93" t="e">
        <f t="shared" ca="1" si="26"/>
        <v>#DIV/0!</v>
      </c>
      <c r="H20" s="93" t="e">
        <f t="shared" ca="1" si="26"/>
        <v>#DIV/0!</v>
      </c>
      <c r="I20" s="93" t="e">
        <f t="shared" ca="1" si="26"/>
        <v>#DIV/0!</v>
      </c>
      <c r="J20" s="93" t="e">
        <f t="shared" ca="1" si="26"/>
        <v>#DIV/0!</v>
      </c>
      <c r="K20" s="93" t="e">
        <f t="shared" ca="1" si="26"/>
        <v>#DIV/0!</v>
      </c>
      <c r="L20" s="93" t="e">
        <f t="shared" ca="1" si="26"/>
        <v>#DIV/0!</v>
      </c>
      <c r="M20" s="93" t="e">
        <f t="shared" ca="1" si="26"/>
        <v>#DIV/0!</v>
      </c>
      <c r="N20" s="93" t="e">
        <f t="shared" ca="1" si="26"/>
        <v>#DIV/0!</v>
      </c>
      <c r="O20" s="93" t="e">
        <f ca="1">SUM(O17:O19)</f>
        <v>#DIV/0!</v>
      </c>
      <c r="P20" s="93" t="e">
        <f ca="1">SUM(P17:P19)</f>
        <v>#DIV/0!</v>
      </c>
      <c r="Q20" s="93" t="e">
        <f ca="1">SUM(Q17:Q19)</f>
        <v>#DIV/0!</v>
      </c>
      <c r="R20" s="93" t="e">
        <f t="shared" ref="R20:AF20" ca="1" si="27">SUM(R17:R19)</f>
        <v>#DIV/0!</v>
      </c>
      <c r="S20" s="93" t="e">
        <f t="shared" ca="1" si="27"/>
        <v>#DIV/0!</v>
      </c>
      <c r="T20" s="93" t="e">
        <f t="shared" ca="1" si="27"/>
        <v>#DIV/0!</v>
      </c>
      <c r="U20" s="93" t="e">
        <f t="shared" ca="1" si="27"/>
        <v>#DIV/0!</v>
      </c>
      <c r="V20" s="93" t="e">
        <f t="shared" ca="1" si="27"/>
        <v>#DIV/0!</v>
      </c>
      <c r="W20" s="93" t="e">
        <f t="shared" ca="1" si="27"/>
        <v>#DIV/0!</v>
      </c>
      <c r="X20" s="93" t="e">
        <f t="shared" ca="1" si="27"/>
        <v>#DIV/0!</v>
      </c>
      <c r="Y20" s="93" t="e">
        <f t="shared" ca="1" si="27"/>
        <v>#DIV/0!</v>
      </c>
      <c r="Z20" s="93" t="e">
        <f t="shared" ca="1" si="27"/>
        <v>#DIV/0!</v>
      </c>
      <c r="AA20" s="93" t="e">
        <f t="shared" ca="1" si="27"/>
        <v>#DIV/0!</v>
      </c>
      <c r="AB20" s="93" t="e">
        <f t="shared" ca="1" si="27"/>
        <v>#DIV/0!</v>
      </c>
      <c r="AC20" s="93" t="e">
        <f t="shared" ca="1" si="27"/>
        <v>#DIV/0!</v>
      </c>
      <c r="AD20" s="93" t="e">
        <f t="shared" ca="1" si="27"/>
        <v>#DIV/0!</v>
      </c>
      <c r="AE20" s="93" t="e">
        <f t="shared" ca="1" si="27"/>
        <v>#DIV/0!</v>
      </c>
      <c r="AF20" s="93" t="e">
        <f t="shared" ca="1" si="27"/>
        <v>#DIV/0!</v>
      </c>
    </row>
    <row r="21" spans="1:32">
      <c r="A21" s="127"/>
      <c r="O21" s="136"/>
      <c r="P21" s="136"/>
      <c r="Q21" s="136"/>
      <c r="R21" s="136"/>
      <c r="S21" s="136"/>
      <c r="T21" s="136"/>
      <c r="U21" s="136"/>
      <c r="V21" s="136"/>
      <c r="W21" s="136"/>
      <c r="X21" s="136"/>
      <c r="Y21" s="136"/>
      <c r="Z21" s="136"/>
      <c r="AA21" s="136"/>
      <c r="AB21" s="136"/>
      <c r="AC21" s="136"/>
      <c r="AD21" s="136"/>
      <c r="AE21" s="136"/>
      <c r="AF21" s="136"/>
    </row>
    <row r="22" spans="1:32" s="30" customFormat="1">
      <c r="A22" s="140" t="s">
        <v>94</v>
      </c>
      <c r="C22" s="93" t="e">
        <f t="shared" ref="C22:N22" ca="1" si="28">C14-C20</f>
        <v>#DIV/0!</v>
      </c>
      <c r="D22" s="93" t="e">
        <f t="shared" ca="1" si="28"/>
        <v>#DIV/0!</v>
      </c>
      <c r="E22" s="93" t="e">
        <f t="shared" ca="1" si="28"/>
        <v>#DIV/0!</v>
      </c>
      <c r="F22" s="93" t="e">
        <f t="shared" ca="1" si="28"/>
        <v>#DIV/0!</v>
      </c>
      <c r="G22" s="93" t="e">
        <f t="shared" ca="1" si="28"/>
        <v>#DIV/0!</v>
      </c>
      <c r="H22" s="93" t="e">
        <f t="shared" ca="1" si="28"/>
        <v>#DIV/0!</v>
      </c>
      <c r="I22" s="93" t="e">
        <f t="shared" ca="1" si="28"/>
        <v>#DIV/0!</v>
      </c>
      <c r="J22" s="93" t="e">
        <f t="shared" ca="1" si="28"/>
        <v>#DIV/0!</v>
      </c>
      <c r="K22" s="93" t="e">
        <f t="shared" ca="1" si="28"/>
        <v>#DIV/0!</v>
      </c>
      <c r="L22" s="93" t="e">
        <f t="shared" ca="1" si="28"/>
        <v>#DIV/0!</v>
      </c>
      <c r="M22" s="93" t="e">
        <f t="shared" ca="1" si="28"/>
        <v>#DIV/0!</v>
      </c>
      <c r="N22" s="93" t="e">
        <f t="shared" ca="1" si="28"/>
        <v>#DIV/0!</v>
      </c>
      <c r="O22" s="93" t="e">
        <f ca="1">O14-O20</f>
        <v>#DIV/0!</v>
      </c>
      <c r="P22" s="93" t="e">
        <f ca="1">P14-P20</f>
        <v>#DIV/0!</v>
      </c>
      <c r="Q22" s="93" t="e">
        <f ca="1">Q14-Q20</f>
        <v>#DIV/0!</v>
      </c>
      <c r="R22" s="93" t="e">
        <f t="shared" ref="R22:AF22" ca="1" si="29">R14-R20</f>
        <v>#DIV/0!</v>
      </c>
      <c r="S22" s="93" t="e">
        <f t="shared" ca="1" si="29"/>
        <v>#DIV/0!</v>
      </c>
      <c r="T22" s="93" t="e">
        <f t="shared" ca="1" si="29"/>
        <v>#DIV/0!</v>
      </c>
      <c r="U22" s="93" t="e">
        <f t="shared" ca="1" si="29"/>
        <v>#DIV/0!</v>
      </c>
      <c r="V22" s="93" t="e">
        <f t="shared" ca="1" si="29"/>
        <v>#DIV/0!</v>
      </c>
      <c r="W22" s="93" t="e">
        <f t="shared" ca="1" si="29"/>
        <v>#DIV/0!</v>
      </c>
      <c r="X22" s="93" t="e">
        <f t="shared" ca="1" si="29"/>
        <v>#DIV/0!</v>
      </c>
      <c r="Y22" s="93" t="e">
        <f t="shared" ca="1" si="29"/>
        <v>#DIV/0!</v>
      </c>
      <c r="Z22" s="93" t="e">
        <f t="shared" ca="1" si="29"/>
        <v>#DIV/0!</v>
      </c>
      <c r="AA22" s="93" t="e">
        <f t="shared" ca="1" si="29"/>
        <v>#DIV/0!</v>
      </c>
      <c r="AB22" s="93" t="e">
        <f t="shared" ca="1" si="29"/>
        <v>#DIV/0!</v>
      </c>
      <c r="AC22" s="93" t="e">
        <f t="shared" ca="1" si="29"/>
        <v>#DIV/0!</v>
      </c>
      <c r="AD22" s="93" t="e">
        <f t="shared" ca="1" si="29"/>
        <v>#DIV/0!</v>
      </c>
      <c r="AE22" s="93" t="e">
        <f t="shared" ca="1" si="29"/>
        <v>#DIV/0!</v>
      </c>
      <c r="AF22" s="93" t="e">
        <f t="shared" ca="1" si="29"/>
        <v>#DIV/0!</v>
      </c>
    </row>
    <row r="23" spans="1:32" s="30" customFormat="1">
      <c r="A23" s="140"/>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row>
    <row r="24" spans="1:32" s="44" customFormat="1">
      <c r="A24" s="110" t="s">
        <v>41</v>
      </c>
      <c r="C24" s="137" t="e">
        <f ca="1">Mort!L36</f>
        <v>#DIV/0!</v>
      </c>
      <c r="D24" s="137" t="e">
        <f t="shared" ref="D24:N24" ca="1" si="30">C24</f>
        <v>#DIV/0!</v>
      </c>
      <c r="E24" s="137" t="e">
        <f t="shared" ca="1" si="30"/>
        <v>#DIV/0!</v>
      </c>
      <c r="F24" s="137" t="e">
        <f t="shared" ca="1" si="30"/>
        <v>#DIV/0!</v>
      </c>
      <c r="G24" s="137" t="e">
        <f t="shared" ca="1" si="30"/>
        <v>#DIV/0!</v>
      </c>
      <c r="H24" s="137" t="e">
        <f t="shared" ca="1" si="30"/>
        <v>#DIV/0!</v>
      </c>
      <c r="I24" s="137" t="e">
        <f t="shared" ca="1" si="30"/>
        <v>#DIV/0!</v>
      </c>
      <c r="J24" s="137" t="e">
        <f t="shared" ca="1" si="30"/>
        <v>#DIV/0!</v>
      </c>
      <c r="K24" s="137" t="e">
        <f t="shared" ca="1" si="30"/>
        <v>#DIV/0!</v>
      </c>
      <c r="L24" s="137" t="e">
        <f t="shared" ca="1" si="30"/>
        <v>#DIV/0!</v>
      </c>
      <c r="M24" s="137" t="e">
        <f t="shared" ca="1" si="30"/>
        <v>#DIV/0!</v>
      </c>
      <c r="N24" s="137" t="e">
        <f t="shared" ca="1" si="30"/>
        <v>#DIV/0!</v>
      </c>
      <c r="O24" s="137" t="e">
        <f ca="1">N24</f>
        <v>#DIV/0!</v>
      </c>
      <c r="P24" s="137" t="e">
        <f ca="1">O24</f>
        <v>#DIV/0!</v>
      </c>
      <c r="Q24" s="137" t="e">
        <f ca="1">P24</f>
        <v>#DIV/0!</v>
      </c>
      <c r="R24" s="137" t="e">
        <f t="shared" ref="R24:AF24" ca="1" si="31">Q24</f>
        <v>#DIV/0!</v>
      </c>
      <c r="S24" s="137" t="e">
        <f t="shared" ca="1" si="31"/>
        <v>#DIV/0!</v>
      </c>
      <c r="T24" s="137" t="e">
        <f t="shared" ca="1" si="31"/>
        <v>#DIV/0!</v>
      </c>
      <c r="U24" s="137" t="e">
        <f t="shared" ca="1" si="31"/>
        <v>#DIV/0!</v>
      </c>
      <c r="V24" s="137" t="e">
        <f t="shared" ca="1" si="31"/>
        <v>#DIV/0!</v>
      </c>
      <c r="W24" s="137" t="e">
        <f t="shared" ca="1" si="31"/>
        <v>#DIV/0!</v>
      </c>
      <c r="X24" s="137" t="e">
        <f t="shared" ca="1" si="31"/>
        <v>#DIV/0!</v>
      </c>
      <c r="Y24" s="137" t="e">
        <f t="shared" ca="1" si="31"/>
        <v>#DIV/0!</v>
      </c>
      <c r="Z24" s="137" t="e">
        <f t="shared" ca="1" si="31"/>
        <v>#DIV/0!</v>
      </c>
      <c r="AA24" s="137" t="e">
        <f t="shared" ca="1" si="31"/>
        <v>#DIV/0!</v>
      </c>
      <c r="AB24" s="137" t="e">
        <f t="shared" ca="1" si="31"/>
        <v>#DIV/0!</v>
      </c>
      <c r="AC24" s="137" t="e">
        <f t="shared" ca="1" si="31"/>
        <v>#DIV/0!</v>
      </c>
      <c r="AD24" s="137" t="e">
        <f t="shared" ca="1" si="31"/>
        <v>#DIV/0!</v>
      </c>
      <c r="AE24" s="137" t="e">
        <f t="shared" ca="1" si="31"/>
        <v>#DIV/0!</v>
      </c>
      <c r="AF24" s="137" t="e">
        <f t="shared" ca="1" si="31"/>
        <v>#DIV/0!</v>
      </c>
    </row>
    <row r="25" spans="1:32" s="30" customFormat="1">
      <c r="A25" s="140"/>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row>
    <row r="26" spans="1:32" s="30" customFormat="1">
      <c r="A26" s="140" t="s">
        <v>95</v>
      </c>
      <c r="C26" s="93" t="e">
        <f t="shared" ref="C26:N26" ca="1" si="32">C22-C24</f>
        <v>#DIV/0!</v>
      </c>
      <c r="D26" s="93" t="e">
        <f t="shared" ca="1" si="32"/>
        <v>#DIV/0!</v>
      </c>
      <c r="E26" s="93" t="e">
        <f t="shared" ca="1" si="32"/>
        <v>#DIV/0!</v>
      </c>
      <c r="F26" s="93" t="e">
        <f t="shared" ca="1" si="32"/>
        <v>#DIV/0!</v>
      </c>
      <c r="G26" s="93" t="e">
        <f t="shared" ca="1" si="32"/>
        <v>#DIV/0!</v>
      </c>
      <c r="H26" s="93" t="e">
        <f t="shared" ca="1" si="32"/>
        <v>#DIV/0!</v>
      </c>
      <c r="I26" s="93" t="e">
        <f t="shared" ca="1" si="32"/>
        <v>#DIV/0!</v>
      </c>
      <c r="J26" s="93" t="e">
        <f t="shared" ca="1" si="32"/>
        <v>#DIV/0!</v>
      </c>
      <c r="K26" s="93" t="e">
        <f t="shared" ca="1" si="32"/>
        <v>#DIV/0!</v>
      </c>
      <c r="L26" s="93" t="e">
        <f t="shared" ca="1" si="32"/>
        <v>#DIV/0!</v>
      </c>
      <c r="M26" s="93" t="e">
        <f t="shared" ca="1" si="32"/>
        <v>#DIV/0!</v>
      </c>
      <c r="N26" s="93" t="e">
        <f t="shared" ca="1" si="32"/>
        <v>#DIV/0!</v>
      </c>
      <c r="O26" s="93" t="e">
        <f ca="1">O22-O24</f>
        <v>#DIV/0!</v>
      </c>
      <c r="P26" s="93" t="e">
        <f ca="1">P22-P24</f>
        <v>#DIV/0!</v>
      </c>
      <c r="Q26" s="93" t="e">
        <f ca="1">Q22-Q24</f>
        <v>#DIV/0!</v>
      </c>
      <c r="R26" s="93" t="e">
        <f t="shared" ref="R26:AF26" ca="1" si="33">R22-R24</f>
        <v>#DIV/0!</v>
      </c>
      <c r="S26" s="93" t="e">
        <f t="shared" ca="1" si="33"/>
        <v>#DIV/0!</v>
      </c>
      <c r="T26" s="93" t="e">
        <f t="shared" ca="1" si="33"/>
        <v>#DIV/0!</v>
      </c>
      <c r="U26" s="93" t="e">
        <f t="shared" ca="1" si="33"/>
        <v>#DIV/0!</v>
      </c>
      <c r="V26" s="93" t="e">
        <f t="shared" ca="1" si="33"/>
        <v>#DIV/0!</v>
      </c>
      <c r="W26" s="93" t="e">
        <f t="shared" ca="1" si="33"/>
        <v>#DIV/0!</v>
      </c>
      <c r="X26" s="93" t="e">
        <f t="shared" ca="1" si="33"/>
        <v>#DIV/0!</v>
      </c>
      <c r="Y26" s="93" t="e">
        <f t="shared" ca="1" si="33"/>
        <v>#DIV/0!</v>
      </c>
      <c r="Z26" s="93" t="e">
        <f t="shared" ca="1" si="33"/>
        <v>#DIV/0!</v>
      </c>
      <c r="AA26" s="93" t="e">
        <f t="shared" ca="1" si="33"/>
        <v>#DIV/0!</v>
      </c>
      <c r="AB26" s="93" t="e">
        <f t="shared" ca="1" si="33"/>
        <v>#DIV/0!</v>
      </c>
      <c r="AC26" s="93" t="e">
        <f t="shared" ca="1" si="33"/>
        <v>#DIV/0!</v>
      </c>
      <c r="AD26" s="93" t="e">
        <f t="shared" ca="1" si="33"/>
        <v>#DIV/0!</v>
      </c>
      <c r="AE26" s="93" t="e">
        <f t="shared" ca="1" si="33"/>
        <v>#DIV/0!</v>
      </c>
      <c r="AF26" s="93" t="e">
        <f t="shared" ca="1" si="33"/>
        <v>#DIV/0!</v>
      </c>
    </row>
    <row r="27" spans="1:32" s="30" customFormat="1">
      <c r="A27" s="140"/>
      <c r="C27" s="93"/>
      <c r="D27" s="93"/>
      <c r="E27" s="93"/>
      <c r="F27" s="93"/>
      <c r="G27" s="93"/>
      <c r="H27" s="93"/>
      <c r="I27" s="93"/>
      <c r="J27" s="93"/>
      <c r="K27" s="93"/>
      <c r="L27" s="93"/>
      <c r="M27" s="93"/>
      <c r="N27" s="93"/>
    </row>
    <row r="28" spans="1:32" s="30" customFormat="1">
      <c r="A28" s="140" t="s">
        <v>467</v>
      </c>
      <c r="C28" s="93" t="e">
        <f ca="1">SUM(C26:Q26)</f>
        <v>#DIV/0!</v>
      </c>
      <c r="D28" s="93"/>
      <c r="E28" s="93"/>
      <c r="F28" s="93"/>
      <c r="G28" s="93"/>
      <c r="H28" s="93"/>
      <c r="I28" s="93"/>
      <c r="J28" s="93"/>
      <c r="K28" s="93"/>
      <c r="L28" s="93"/>
      <c r="M28" s="93"/>
      <c r="N28" s="93"/>
    </row>
    <row r="29" spans="1:32" s="30" customFormat="1">
      <c r="C29" s="93"/>
      <c r="D29" s="93"/>
      <c r="E29" s="93"/>
      <c r="F29" s="93"/>
      <c r="G29" s="93"/>
      <c r="H29" s="93"/>
      <c r="I29" s="93"/>
      <c r="J29" s="93"/>
      <c r="K29" s="93"/>
      <c r="L29" s="93"/>
      <c r="M29" s="93"/>
      <c r="N29" s="93"/>
    </row>
    <row r="31" spans="1:32">
      <c r="A31" s="11"/>
      <c r="B31" s="135"/>
      <c r="C31" s="13"/>
      <c r="D31" s="135"/>
    </row>
    <row r="33" spans="1:1">
      <c r="A33" s="43"/>
    </row>
    <row r="34" spans="1:1">
      <c r="A34" s="46"/>
    </row>
    <row r="35" spans="1:1">
      <c r="A35" s="46"/>
    </row>
  </sheetData>
  <customSheetViews>
    <customSheetView guid="{560D4AFA-61E5-46C3-B0CD-D0EB3053A033}" scale="75" showPageBreaks="1" fitToPage="1" showRuler="0">
      <selection activeCell="C9" sqref="C9"/>
      <pageMargins left="0.75" right="0.5" top="0.75" bottom="0.5" header="0.5" footer="0.5"/>
      <pageSetup scale="51" orientation="landscape" r:id="rId1"/>
      <headerFooter alignWithMargins="0"/>
    </customSheetView>
    <customSheetView guid="{1ECE83C7-A3CE-4F97-BFD3-498FF783C0D9}" scale="75" showPageBreaks="1" fitToPage="1" showRuler="0">
      <selection activeCell="H29" sqref="H29"/>
      <pageMargins left="0.75" right="0.5" top="0.75" bottom="0.5" header="0.5" footer="0.5"/>
      <pageSetup scale="51" orientation="landscape" r:id="rId2"/>
      <headerFooter alignWithMargins="0"/>
    </customSheetView>
    <customSheetView guid="{6EF643BE-69F3-424E-8A44-3890161370D4}" fitToPage="1" showRuler="0" topLeftCell="J1">
      <selection activeCell="N4" sqref="N4"/>
      <pageMargins left="0.75" right="0.75" top="1" bottom="1" header="0.5" footer="0.5"/>
      <pageSetup scale="61" orientation="landscape" horizontalDpi="1200" verticalDpi="1200" r:id="rId3"/>
      <headerFooter alignWithMargins="0"/>
    </customSheetView>
    <customSheetView guid="{FBB4BF8E-8A9F-4E98-A6F9-5F9BF4C55C67}" showPageBreaks="1" fitToPage="1" showRuler="0" topLeftCell="A11">
      <pageMargins left="0.75" right="0.75" top="1" bottom="1" header="0.5" footer="0.5"/>
      <pageSetup scale="61" orientation="landscape" horizontalDpi="1200" verticalDpi="1200" r:id="rId4"/>
      <headerFooter alignWithMargins="0"/>
    </customSheetView>
    <customSheetView guid="{EB776EFC-3589-4DB5-BEAF-1E83D9703F9E}" fitToPage="1" showRuler="0" topLeftCell="A14">
      <selection activeCell="B28" sqref="B28"/>
      <pageMargins left="0.75" right="0.75" top="1" bottom="1" header="0.5" footer="0.5"/>
      <pageSetup scale="64" orientation="landscape" horizontalDpi="1200" verticalDpi="1200" r:id="rId5"/>
      <headerFooter alignWithMargins="0"/>
    </customSheetView>
    <customSheetView guid="{AEA5979F-5357-4ED6-A6CA-1BB80F5C7A74}" showPageBreaks="1" fitToPage="1" showRuler="0">
      <selection activeCell="A5" sqref="A5"/>
      <pageMargins left="0.75" right="0.75" top="1" bottom="1" header="0.5" footer="0.5"/>
      <pageSetup scale="61" orientation="landscape" horizontalDpi="1200" verticalDpi="1200" r:id="rId6"/>
      <headerFooter alignWithMargins="0"/>
    </customSheetView>
    <customSheetView guid="{28F81D13-D146-4D67-8981-BA5D7A496326}" showPageBreaks="1" fitToPage="1" showRuler="0" topLeftCell="K6">
      <selection activeCell="O6" sqref="O6"/>
      <pageMargins left="0.75" right="0.75" top="1" bottom="1" header="0.5" footer="0.5"/>
      <pageSetup scale="50" orientation="landscape" horizontalDpi="1200" verticalDpi="1200" r:id="rId7"/>
      <headerFooter alignWithMargins="0"/>
    </customSheetView>
    <customSheetView guid="{25C4E7E7-1006-4A2D-BC83-AEE4ADF8A914}" scale="75" showPageBreaks="1" fitToPage="1" showRuler="0" topLeftCell="A10">
      <selection activeCell="H29" sqref="H29"/>
      <pageMargins left="0.75" right="0.5" top="0.75" bottom="0.5" header="0.5" footer="0.5"/>
      <pageSetup scale="51" orientation="landscape" r:id="rId8"/>
      <headerFooter alignWithMargins="0"/>
    </customSheetView>
  </customSheetViews>
  <phoneticPr fontId="0" type="noConversion"/>
  <pageMargins left="0.25" right="0.25" top="0.75" bottom="0.75" header="0.3" footer="0.3"/>
  <pageSetup scale="39" firstPageNumber="212" fitToWidth="2" orientation="landscape" useFirstPageNumber="1" r:id="rId9"/>
  <headerFooter alignWithMargins="0"/>
  <colBreaks count="1" manualBreakCount="1">
    <brk id="17" max="1048575" man="1"/>
  </colBreaks>
  <ignoredErrors>
    <ignoredError sqref="C24:Q24 C26:Q26 C28" evalError="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76"/>
  <sheetViews>
    <sheetView zoomScale="85" zoomScaleNormal="85" workbookViewId="0"/>
  </sheetViews>
  <sheetFormatPr defaultRowHeight="15"/>
  <cols>
    <col min="1" max="1" width="38.44140625" customWidth="1"/>
    <col min="2" max="2" width="19.5546875" style="381" bestFit="1" customWidth="1"/>
    <col min="3" max="3" width="15.109375" style="215" bestFit="1" customWidth="1"/>
    <col min="4" max="4" width="17.5546875" bestFit="1" customWidth="1"/>
    <col min="5" max="5" width="6.21875" customWidth="1"/>
    <col min="6" max="6" width="25.44140625" bestFit="1" customWidth="1"/>
    <col min="7" max="7" width="11.44140625" customWidth="1"/>
    <col min="8" max="8" width="13.6640625" customWidth="1"/>
  </cols>
  <sheetData>
    <row r="1" spans="1:8">
      <c r="A1" s="30" t="str">
        <f>'Sources and Use'!A1</f>
        <v xml:space="preserve">Project Name: </v>
      </c>
      <c r="B1" s="380"/>
      <c r="G1" s="414"/>
      <c r="H1" s="414"/>
    </row>
    <row r="2" spans="1:8">
      <c r="A2" s="30" t="str">
        <f>'Sources and Use'!A2</f>
        <v>Site:</v>
      </c>
      <c r="B2" s="380"/>
      <c r="G2" s="414" t="str">
        <f>'Sources and Use'!C2</f>
        <v>Units:</v>
      </c>
      <c r="H2" s="413">
        <f>'Units &amp; Income'!C23</f>
        <v>0</v>
      </c>
    </row>
    <row r="4" spans="1:8">
      <c r="A4" s="30" t="s">
        <v>230</v>
      </c>
    </row>
    <row r="5" spans="1:8" ht="15.75" thickBot="1">
      <c r="A5" s="415" t="s">
        <v>231</v>
      </c>
      <c r="B5" s="382"/>
      <c r="C5"/>
    </row>
    <row r="6" spans="1:8" ht="15.75" thickTop="1" thickBot="1">
      <c r="B6" s="380"/>
      <c r="F6" s="685" t="s">
        <v>393</v>
      </c>
      <c r="G6" s="567"/>
      <c r="H6" s="599"/>
    </row>
    <row r="7" spans="1:8" ht="15.4" thickTop="1">
      <c r="A7" s="384"/>
      <c r="B7" s="385" t="s">
        <v>217</v>
      </c>
      <c r="C7" s="386" t="s">
        <v>216</v>
      </c>
      <c r="D7" s="387" t="s">
        <v>218</v>
      </c>
      <c r="F7" s="390" t="s">
        <v>221</v>
      </c>
      <c r="G7" s="172"/>
      <c r="H7" s="594" t="e">
        <f>H6/H2</f>
        <v>#DIV/0!</v>
      </c>
    </row>
    <row r="8" spans="1:8">
      <c r="A8" s="388" t="str">
        <f>'Devel. Bud'!A6</f>
        <v>Acquisition Cost</v>
      </c>
      <c r="B8" s="379" t="s">
        <v>219</v>
      </c>
      <c r="C8" s="349">
        <f>'Devel. Bud'!D6</f>
        <v>0</v>
      </c>
      <c r="D8" s="570"/>
      <c r="F8" s="390" t="s">
        <v>222</v>
      </c>
      <c r="G8" s="172"/>
      <c r="H8" s="400" t="e">
        <f>('Devel. Bud'!D12)/'Devel. Bud'!D16</f>
        <v>#DIV/0!</v>
      </c>
    </row>
    <row r="9" spans="1:8">
      <c r="A9" s="390"/>
      <c r="B9" s="379"/>
      <c r="C9" s="349"/>
      <c r="D9" s="389"/>
      <c r="F9" s="390" t="s">
        <v>223</v>
      </c>
      <c r="G9" s="172"/>
      <c r="H9" s="401" t="e">
        <f>H7-H8</f>
        <v>#DIV/0!</v>
      </c>
    </row>
    <row r="10" spans="1:8">
      <c r="A10" s="388" t="str">
        <f>'Devel. Bud'!A8</f>
        <v>Construction Cost</v>
      </c>
      <c r="B10" s="379"/>
      <c r="C10" s="349"/>
      <c r="D10" s="389"/>
      <c r="F10" s="402" t="s">
        <v>224</v>
      </c>
      <c r="G10" s="403"/>
      <c r="H10" s="404" t="e">
        <f ca="1">('Sources and Use'!B7-'Sources and Use'!B20)/'Sources and Use'!B7</f>
        <v>#DIV/0!</v>
      </c>
    </row>
    <row r="11" spans="1:8">
      <c r="A11" s="388" t="str">
        <f>'Devel. Bud'!A9</f>
        <v xml:space="preserve">Contractor Price </v>
      </c>
      <c r="B11" s="379"/>
      <c r="C11" s="349"/>
      <c r="D11" s="389"/>
    </row>
    <row r="12" spans="1:8" ht="15.4" thickBot="1">
      <c r="A12" s="390" t="str">
        <f>'Devel. Bud'!A10</f>
        <v>Residential</v>
      </c>
      <c r="B12" s="379" t="s">
        <v>220</v>
      </c>
      <c r="C12" s="349">
        <f>'Devel. Bud'!D10</f>
        <v>0</v>
      </c>
      <c r="D12" s="568"/>
    </row>
    <row r="13" spans="1:8" ht="15.4" thickTop="1">
      <c r="A13" s="390" t="str">
        <f>'Devel. Bud'!A12</f>
        <v>Commercial Space</v>
      </c>
      <c r="B13" s="593" t="s">
        <v>219</v>
      </c>
      <c r="C13" s="349">
        <f>'Devel. Bud'!D12</f>
        <v>0</v>
      </c>
      <c r="D13" s="569"/>
      <c r="F13" s="384" t="s">
        <v>470</v>
      </c>
      <c r="G13" s="595"/>
      <c r="H13" s="596">
        <f>D76</f>
        <v>0</v>
      </c>
    </row>
    <row r="14" spans="1:8">
      <c r="A14" s="390" t="str">
        <f>'Devel. Bud'!A13</f>
        <v>Community Space</v>
      </c>
      <c r="B14" s="593" t="s">
        <v>220</v>
      </c>
      <c r="C14" s="349">
        <f>'Devel. Bud'!D13</f>
        <v>0</v>
      </c>
      <c r="D14" s="568"/>
      <c r="F14" s="421" t="s">
        <v>469</v>
      </c>
      <c r="G14" s="172"/>
      <c r="H14" s="597" t="e">
        <f>H13/H6</f>
        <v>#DIV/0!</v>
      </c>
    </row>
    <row r="15" spans="1:8">
      <c r="A15" s="390" t="str">
        <f>'Devel. Bud'!A14</f>
        <v>Parking</v>
      </c>
      <c r="B15" s="593" t="s">
        <v>219</v>
      </c>
      <c r="C15" s="349">
        <f>'Devel. Bud'!D14</f>
        <v>0</v>
      </c>
      <c r="D15" s="569"/>
      <c r="F15" s="390" t="s">
        <v>228</v>
      </c>
      <c r="G15" s="598"/>
      <c r="H15" s="391">
        <f>H13*G15</f>
        <v>0</v>
      </c>
    </row>
    <row r="16" spans="1:8">
      <c r="A16" s="390" t="str">
        <f>'Devel. Bud'!A15</f>
        <v>Contingency</v>
      </c>
      <c r="B16" s="593" t="s">
        <v>220</v>
      </c>
      <c r="C16" s="349">
        <f>'Devel. Bud'!D15</f>
        <v>0</v>
      </c>
      <c r="D16" s="568"/>
      <c r="F16" s="390" t="s">
        <v>225</v>
      </c>
      <c r="G16" s="519"/>
      <c r="H16" s="405">
        <f>H15*G16</f>
        <v>0</v>
      </c>
    </row>
    <row r="17" spans="1:8">
      <c r="A17" s="390"/>
      <c r="B17" s="379"/>
      <c r="C17" s="349"/>
      <c r="D17" s="391"/>
      <c r="F17" s="390" t="s">
        <v>226</v>
      </c>
      <c r="G17" s="383"/>
      <c r="H17" s="405">
        <f>H16*G17</f>
        <v>0</v>
      </c>
    </row>
    <row r="18" spans="1:8">
      <c r="A18" s="390"/>
      <c r="B18" s="379"/>
      <c r="C18" s="349"/>
      <c r="D18" s="391"/>
      <c r="F18" s="402" t="s">
        <v>227</v>
      </c>
      <c r="G18" s="403"/>
      <c r="H18" s="399">
        <f>H17*10</f>
        <v>0</v>
      </c>
    </row>
    <row r="19" spans="1:8">
      <c r="A19" s="388" t="str">
        <f>'Devel. Bud'!A16</f>
        <v>Total Hard Cost</v>
      </c>
      <c r="B19" s="379"/>
      <c r="C19" s="392">
        <f>'Devel. Bud'!D16</f>
        <v>0</v>
      </c>
      <c r="D19" s="393">
        <f>SUM(D12:D18)</f>
        <v>0</v>
      </c>
    </row>
    <row r="20" spans="1:8">
      <c r="A20" s="390"/>
      <c r="B20" s="379"/>
      <c r="C20" s="349"/>
      <c r="D20" s="389"/>
    </row>
    <row r="21" spans="1:8">
      <c r="A21" s="390"/>
      <c r="B21" s="379"/>
      <c r="C21" s="349"/>
      <c r="D21" s="389"/>
    </row>
    <row r="22" spans="1:8">
      <c r="A22" s="388" t="str">
        <f>'Devel. Bud'!A19</f>
        <v>Soft Cost</v>
      </c>
      <c r="B22" s="379"/>
      <c r="C22" s="349"/>
      <c r="D22" s="389"/>
    </row>
    <row r="23" spans="1:8">
      <c r="A23" s="390"/>
      <c r="B23" s="379"/>
      <c r="C23" s="349"/>
      <c r="D23" s="389"/>
    </row>
    <row r="24" spans="1:8">
      <c r="A24" s="390" t="str">
        <f>'Devel. Bud'!A21</f>
        <v>Borrower's Legal</v>
      </c>
      <c r="B24" s="379" t="s">
        <v>220</v>
      </c>
      <c r="C24" s="349">
        <f>'Devel. Bud'!D21</f>
        <v>0</v>
      </c>
      <c r="D24" s="568"/>
    </row>
    <row r="25" spans="1:8">
      <c r="A25" s="390" t="str">
        <f>'Devel. Bud'!A22</f>
        <v>Borrower's Engineer/Architect Fees</v>
      </c>
      <c r="B25" s="379" t="s">
        <v>220</v>
      </c>
      <c r="C25" s="349">
        <f>'Devel. Bud'!D22</f>
        <v>0</v>
      </c>
      <c r="D25" s="568"/>
    </row>
    <row r="26" spans="1:8">
      <c r="A26" s="390" t="str">
        <f>'Devel. Bud'!A23</f>
        <v>Accounting &amp; Cost Certification</v>
      </c>
      <c r="B26" s="379" t="s">
        <v>220</v>
      </c>
      <c r="C26" s="349">
        <f>'Devel. Bud'!D23</f>
        <v>0</v>
      </c>
      <c r="D26" s="568"/>
    </row>
    <row r="27" spans="1:8">
      <c r="A27" s="390" t="str">
        <f>'Devel. Bud'!A24</f>
        <v>Housing/Development Consultant</v>
      </c>
      <c r="B27" s="379" t="s">
        <v>220</v>
      </c>
      <c r="C27" s="349">
        <f>'Devel. Bud'!D24</f>
        <v>0</v>
      </c>
      <c r="D27" s="568"/>
    </row>
    <row r="28" spans="1:8">
      <c r="A28" s="390" t="str">
        <f>'Devel. Bud'!A25</f>
        <v>Bank's Engineer</v>
      </c>
      <c r="B28" s="379" t="s">
        <v>220</v>
      </c>
      <c r="C28" s="349">
        <f>'Devel. Bud'!D25</f>
        <v>0</v>
      </c>
      <c r="D28" s="568"/>
    </row>
    <row r="29" spans="1:8">
      <c r="A29" s="390" t="str">
        <f>'Devel. Bud'!A26</f>
        <v>Bank Legal</v>
      </c>
      <c r="B29" s="379" t="s">
        <v>220</v>
      </c>
      <c r="C29" s="349">
        <f>'Devel. Bud'!D26</f>
        <v>0</v>
      </c>
      <c r="D29" s="568"/>
    </row>
    <row r="30" spans="1:8">
      <c r="A30" s="390" t="str">
        <f>'Devel. Bud'!A27</f>
        <v>Permits and expediting</v>
      </c>
      <c r="B30" s="379" t="s">
        <v>220</v>
      </c>
      <c r="C30" s="349">
        <f>'Devel. Bud'!D27</f>
        <v>0</v>
      </c>
      <c r="D30" s="568"/>
    </row>
    <row r="31" spans="1:8">
      <c r="A31" s="390" t="str">
        <f>'Devel. Bud'!A28</f>
        <v>Environmental Phase I &amp; II</v>
      </c>
      <c r="B31" s="379" t="s">
        <v>220</v>
      </c>
      <c r="C31" s="349">
        <f>'Devel. Bud'!D28</f>
        <v>0</v>
      </c>
      <c r="D31" s="568"/>
    </row>
    <row r="32" spans="1:8">
      <c r="A32" s="390" t="str">
        <f>'Devel. Bud'!A29</f>
        <v>CEQR</v>
      </c>
      <c r="B32" s="379" t="s">
        <v>220</v>
      </c>
      <c r="C32" s="349">
        <f>'Devel. Bud'!D29</f>
        <v>0</v>
      </c>
      <c r="D32" s="568"/>
    </row>
    <row r="33" spans="1:11">
      <c r="A33" s="390" t="str">
        <f>'Devel. Bud'!A30</f>
        <v>Borings</v>
      </c>
      <c r="B33" s="379" t="s">
        <v>220</v>
      </c>
      <c r="C33" s="349">
        <f>'Devel. Bud'!D30</f>
        <v>0</v>
      </c>
      <c r="D33" s="568"/>
    </row>
    <row r="34" spans="1:11">
      <c r="A34" s="390" t="str">
        <f>'Devel. Bud'!A31</f>
        <v>Survey</v>
      </c>
      <c r="B34" s="379" t="s">
        <v>220</v>
      </c>
      <c r="C34" s="349">
        <f>'Devel. Bud'!D31</f>
        <v>0</v>
      </c>
      <c r="D34" s="568"/>
    </row>
    <row r="35" spans="1:11">
      <c r="A35" s="390" t="str">
        <f>'Devel. Bud'!A32</f>
        <v>Geotechnical</v>
      </c>
      <c r="B35" s="379" t="s">
        <v>220</v>
      </c>
      <c r="C35" s="349">
        <f>'Devel. Bud'!D32</f>
        <v>0</v>
      </c>
      <c r="D35" s="568"/>
    </row>
    <row r="36" spans="1:11">
      <c r="A36" s="390" t="str">
        <f>'Devel. Bud'!A33</f>
        <v>Title Insurance</v>
      </c>
      <c r="B36" s="379" t="s">
        <v>220</v>
      </c>
      <c r="C36" s="349">
        <f>'Devel. Bud'!D33</f>
        <v>0</v>
      </c>
      <c r="D36" s="568"/>
    </row>
    <row r="37" spans="1:11">
      <c r="A37" s="390" t="str">
        <f>'Devel. Bud'!A34</f>
        <v xml:space="preserve">Appraisal </v>
      </c>
      <c r="B37" s="379" t="s">
        <v>219</v>
      </c>
      <c r="C37" s="349">
        <f>'Devel. Bud'!D35</f>
        <v>0</v>
      </c>
      <c r="D37" s="569"/>
    </row>
    <row r="38" spans="1:11">
      <c r="A38" s="388" t="str">
        <f>'Devel. Bud'!A36</f>
        <v>Subtotal</v>
      </c>
      <c r="B38" s="379"/>
      <c r="C38" s="392">
        <f>'Devel. Bud'!D36</f>
        <v>0</v>
      </c>
      <c r="D38" s="393">
        <f>SUM(D24:D37)</f>
        <v>0</v>
      </c>
      <c r="F38" s="486"/>
    </row>
    <row r="39" spans="1:11">
      <c r="A39" s="390"/>
      <c r="B39" s="379"/>
      <c r="C39" s="349"/>
      <c r="D39" s="389"/>
    </row>
    <row r="40" spans="1:11">
      <c r="A40" s="394" t="str">
        <f>'Devel. Bud'!A38</f>
        <v>Financing Fees (Please maintain links to original calculations and note any changes)</v>
      </c>
      <c r="B40" s="379"/>
      <c r="C40" s="349"/>
      <c r="D40" s="389"/>
    </row>
    <row r="41" spans="1:11">
      <c r="A41" s="390" t="str">
        <f>'Devel. Bud'!A39</f>
        <v>Upfront L/C Fee</v>
      </c>
      <c r="B41" s="379" t="s">
        <v>220</v>
      </c>
      <c r="C41" s="349" t="e">
        <f ca="1">'Devel. Bud'!D39</f>
        <v>#DIV/0!</v>
      </c>
      <c r="D41" s="568"/>
      <c r="K41" t="s">
        <v>112</v>
      </c>
    </row>
    <row r="42" spans="1:11">
      <c r="A42" s="390" t="str">
        <f>'Devel. Bud'!A40</f>
        <v>Annual L/C Fee</v>
      </c>
      <c r="B42" s="379" t="s">
        <v>220</v>
      </c>
      <c r="C42" s="349" t="e">
        <f ca="1">'Devel. Bud'!D40</f>
        <v>#DIV/0!</v>
      </c>
      <c r="D42" s="568"/>
    </row>
    <row r="43" spans="1:11">
      <c r="A43" s="390" t="str">
        <f>'Devel. Bud'!A41</f>
        <v>HDC Fee (if applicable)</v>
      </c>
      <c r="B43" s="379" t="s">
        <v>219</v>
      </c>
      <c r="C43" s="349" t="e">
        <f ca="1">'Devel. Bud'!D41</f>
        <v>#DIV/0!</v>
      </c>
      <c r="D43" s="569"/>
    </row>
    <row r="44" spans="1:11">
      <c r="A44" s="390" t="str">
        <f>'Devel. Bud'!A43</f>
        <v>Costs of Issuance</v>
      </c>
      <c r="B44" s="379" t="s">
        <v>219</v>
      </c>
      <c r="C44" s="349" t="e">
        <f ca="1">'Devel. Bud'!D43</f>
        <v>#DIV/0!</v>
      </c>
      <c r="D44" s="568"/>
    </row>
    <row r="45" spans="1:11">
      <c r="A45" s="390" t="str">
        <f>'Devel. Bud'!A44</f>
        <v>HPD Fee (if applicable)</v>
      </c>
      <c r="B45" s="379" t="s">
        <v>219</v>
      </c>
      <c r="C45" s="349">
        <f>'Devel. Bud'!D44</f>
        <v>0</v>
      </c>
      <c r="D45" s="569"/>
    </row>
    <row r="46" spans="1:11">
      <c r="A46" s="390" t="str">
        <f>'Devel. Bud'!A45</f>
        <v>Interest Rate Cap (estimate)</v>
      </c>
      <c r="B46" s="379" t="s">
        <v>219</v>
      </c>
      <c r="C46" s="349">
        <f>'Devel. Bud'!D45</f>
        <v>0</v>
      </c>
      <c r="D46" s="569"/>
    </row>
    <row r="47" spans="1:11">
      <c r="A47" s="421" t="str">
        <f>'Devel. Bud'!A46</f>
        <v>Tax Exemption/Abatement Fees &amp; Consultant</v>
      </c>
      <c r="B47" s="379" t="s">
        <v>220</v>
      </c>
      <c r="C47" s="349">
        <f>'Devel. Bud'!D46</f>
        <v>0</v>
      </c>
      <c r="D47" s="569"/>
    </row>
    <row r="48" spans="1:11">
      <c r="A48" s="390" t="str">
        <f>'Devel. Bud'!A47</f>
        <v>LIHTC Application Fee</v>
      </c>
      <c r="B48" s="379" t="s">
        <v>219</v>
      </c>
      <c r="C48" s="349">
        <f>'Devel. Bud'!D47</f>
        <v>0</v>
      </c>
      <c r="D48" s="569"/>
    </row>
    <row r="49" spans="1:4">
      <c r="A49" s="390" t="str">
        <f>'Devel. Bud'!A48</f>
        <v>Non Profit Sponsor</v>
      </c>
      <c r="B49" s="379" t="s">
        <v>220</v>
      </c>
      <c r="C49" s="349">
        <f>'Devel. Bud'!D48</f>
        <v>0</v>
      </c>
      <c r="D49" s="569"/>
    </row>
    <row r="50" spans="1:4" ht="15.4">
      <c r="A50" s="395" t="str">
        <f>'Devel. Bud'!A50</f>
        <v>Subtotal</v>
      </c>
      <c r="B50" s="396"/>
      <c r="C50" s="392" t="e">
        <f ca="1">'Devel. Bud'!D50</f>
        <v>#DIV/0!</v>
      </c>
      <c r="D50" s="424">
        <f>SUM(D41:D49)</f>
        <v>0</v>
      </c>
    </row>
    <row r="51" spans="1:4">
      <c r="A51" s="390"/>
      <c r="B51" s="379"/>
      <c r="C51" s="349"/>
      <c r="D51" s="389"/>
    </row>
    <row r="52" spans="1:4">
      <c r="A52" s="394" t="str">
        <f>'Devel. Bud'!A52</f>
        <v xml:space="preserve">Carrying Costs </v>
      </c>
      <c r="B52" s="379"/>
      <c r="C52" s="349"/>
      <c r="D52" s="389"/>
    </row>
    <row r="53" spans="1:4">
      <c r="A53" s="390" t="str">
        <f>'Devel. Bud'!A53</f>
        <v>Construction Interest</v>
      </c>
      <c r="B53" s="379" t="s">
        <v>220</v>
      </c>
      <c r="C53" s="349" t="e">
        <f ca="1">'Devel. Bud'!D53</f>
        <v>#DIV/0!</v>
      </c>
      <c r="D53" s="568"/>
    </row>
    <row r="54" spans="1:4">
      <c r="A54" s="390" t="str">
        <f>'Devel. Bud'!A54</f>
        <v>Negative Arbitrage</v>
      </c>
      <c r="B54" s="379" t="s">
        <v>219</v>
      </c>
      <c r="C54" s="349" t="e">
        <f ca="1">'Devel. Bud'!D54</f>
        <v>#DIV/0!</v>
      </c>
      <c r="D54" s="568"/>
    </row>
    <row r="55" spans="1:4">
      <c r="A55" s="390" t="str">
        <f>'Devel. Bud'!A55</f>
        <v>Mortgage Recorting Tax</v>
      </c>
      <c r="B55" s="379" t="s">
        <v>219</v>
      </c>
      <c r="C55" s="349">
        <f>'Devel. Bud'!D55</f>
        <v>0</v>
      </c>
      <c r="D55" s="569"/>
    </row>
    <row r="56" spans="1:4">
      <c r="A56" s="390" t="str">
        <f>'Devel. Bud'!A56</f>
        <v>Water/Sewer &amp; Real Estate Taxes</v>
      </c>
      <c r="B56" s="379" t="s">
        <v>220</v>
      </c>
      <c r="C56" s="349">
        <f>'Devel. Bud'!D56</f>
        <v>0</v>
      </c>
      <c r="D56" s="568"/>
    </row>
    <row r="57" spans="1:4">
      <c r="A57" s="390" t="str">
        <f>'Devel. Bud'!A57</f>
        <v>Utilities</v>
      </c>
      <c r="B57" s="379" t="s">
        <v>220</v>
      </c>
      <c r="C57" s="349">
        <f>'Devel. Bud'!D57</f>
        <v>0</v>
      </c>
      <c r="D57" s="568"/>
    </row>
    <row r="58" spans="1:4">
      <c r="A58" s="390" t="str">
        <f>'Devel. Bud'!A58</f>
        <v>Insurance</v>
      </c>
      <c r="B58" s="379" t="s">
        <v>220</v>
      </c>
      <c r="C58" s="349">
        <f>'Devel. Bud'!D58</f>
        <v>0</v>
      </c>
      <c r="D58" s="568"/>
    </row>
    <row r="59" spans="1:4">
      <c r="A59" s="390" t="str">
        <f>'Devel. Bud'!A59</f>
        <v>Construction Monitor</v>
      </c>
      <c r="B59" s="379" t="s">
        <v>220</v>
      </c>
      <c r="C59" s="349">
        <f>'Devel. Bud'!D59</f>
        <v>0</v>
      </c>
      <c r="D59" s="568"/>
    </row>
    <row r="60" spans="1:4">
      <c r="A60" s="390" t="str">
        <f>'Devel. Bud'!A60</f>
        <v>Marketing</v>
      </c>
      <c r="B60" s="379" t="s">
        <v>219</v>
      </c>
      <c r="C60" s="349">
        <f>'Devel. Bud'!D60</f>
        <v>0</v>
      </c>
      <c r="D60" s="569"/>
    </row>
    <row r="61" spans="1:4">
      <c r="A61" s="390" t="str">
        <f>'Devel. Bud'!A61</f>
        <v>Security</v>
      </c>
      <c r="B61" s="379" t="s">
        <v>220</v>
      </c>
      <c r="C61" s="349">
        <f>'Devel. Bud'!D61</f>
        <v>0</v>
      </c>
      <c r="D61" s="568"/>
    </row>
    <row r="62" spans="1:4" ht="15.4">
      <c r="A62" s="395" t="str">
        <f>'Devel. Bud'!A63</f>
        <v>Subtotal</v>
      </c>
      <c r="B62" s="396"/>
      <c r="C62" s="392" t="e">
        <f ca="1">'Devel. Bud'!D63</f>
        <v>#DIV/0!</v>
      </c>
      <c r="D62" s="393">
        <f>SUM(D53:D61)</f>
        <v>0</v>
      </c>
    </row>
    <row r="63" spans="1:4">
      <c r="A63" s="390"/>
      <c r="B63" s="379"/>
      <c r="C63" s="349"/>
      <c r="D63" s="389"/>
    </row>
    <row r="64" spans="1:4">
      <c r="A64" s="394" t="str">
        <f>'Devel. Bud'!A65</f>
        <v>Reserves and Contingency</v>
      </c>
      <c r="B64" s="379"/>
      <c r="C64" s="349"/>
      <c r="D64" s="389"/>
    </row>
    <row r="65" spans="1:4">
      <c r="A65" s="390" t="str">
        <f>'Devel. Bud'!A66</f>
        <v>Social Service Reserve</v>
      </c>
      <c r="B65" s="379" t="s">
        <v>219</v>
      </c>
      <c r="C65" s="349">
        <f>'Devel. Bud'!D66</f>
        <v>0</v>
      </c>
      <c r="D65" s="569"/>
    </row>
    <row r="66" spans="1:4">
      <c r="A66" s="390" t="str">
        <f>'Devel. Bud'!A67</f>
        <v>Capitalized Operating Reserve</v>
      </c>
      <c r="B66" s="379" t="s">
        <v>219</v>
      </c>
      <c r="C66" s="349">
        <f>'Devel. Bud'!D67</f>
        <v>0</v>
      </c>
      <c r="D66" s="569"/>
    </row>
    <row r="67" spans="1:4">
      <c r="A67" s="390" t="str">
        <f>'Devel. Bud'!A68</f>
        <v>Additional Operating Reserve (if applicable)</v>
      </c>
      <c r="B67" s="379" t="s">
        <v>219</v>
      </c>
      <c r="C67" s="349">
        <f>'Devel. Bud'!D68</f>
        <v>0</v>
      </c>
      <c r="D67" s="569"/>
    </row>
    <row r="68" spans="1:4">
      <c r="A68" s="390" t="str">
        <f>'Devel. Bud'!A69</f>
        <v>Soft Cost Contingency</v>
      </c>
      <c r="B68" s="379" t="s">
        <v>220</v>
      </c>
      <c r="C68" s="349">
        <f>'Devel. Bud'!D69</f>
        <v>0</v>
      </c>
      <c r="D68" s="568"/>
    </row>
    <row r="69" spans="1:4">
      <c r="A69" s="390"/>
      <c r="B69" s="379"/>
      <c r="C69" s="349"/>
      <c r="D69" s="389"/>
    </row>
    <row r="70" spans="1:4">
      <c r="A70" s="395" t="str">
        <f>'Devel. Bud'!A70</f>
        <v>Subtotal</v>
      </c>
      <c r="B70" s="379"/>
      <c r="C70" s="392">
        <f>'Devel. Bud'!D70</f>
        <v>0</v>
      </c>
      <c r="D70" s="393">
        <f>SUM(D64:D69)</f>
        <v>0</v>
      </c>
    </row>
    <row r="71" spans="1:4">
      <c r="A71" s="390"/>
      <c r="B71" s="379"/>
      <c r="C71" s="349"/>
      <c r="D71" s="389"/>
    </row>
    <row r="72" spans="1:4">
      <c r="A72" s="388" t="str">
        <f>'Devel. Bud'!A72</f>
        <v>Total Soft Costs</v>
      </c>
      <c r="B72" s="379"/>
      <c r="C72" s="392" t="e">
        <f ca="1">'Devel. Bud'!D72</f>
        <v>#DIV/0!</v>
      </c>
      <c r="D72" s="393">
        <f>D38+D50+D62+D70</f>
        <v>0</v>
      </c>
    </row>
    <row r="73" spans="1:4">
      <c r="A73" s="390"/>
      <c r="B73" s="379"/>
      <c r="C73" s="349"/>
      <c r="D73" s="389"/>
    </row>
    <row r="74" spans="1:4">
      <c r="A74" s="394" t="str">
        <f>'Devel. Bud'!A74</f>
        <v>Developer's Fee</v>
      </c>
      <c r="B74" s="379" t="s">
        <v>220</v>
      </c>
      <c r="C74" s="349">
        <f>'Devel. Bud'!D74</f>
        <v>0</v>
      </c>
      <c r="D74" s="568"/>
    </row>
    <row r="75" spans="1:4">
      <c r="A75" s="390"/>
      <c r="B75" s="379"/>
      <c r="C75" s="349"/>
      <c r="D75" s="389"/>
    </row>
    <row r="76" spans="1:4">
      <c r="A76" s="397" t="str">
        <f>'Devel. Bud'!A77</f>
        <v>Total Development Cost:</v>
      </c>
      <c r="B76" s="398"/>
      <c r="C76" s="406" t="e">
        <f ca="1">'Devel. Bud'!D77</f>
        <v>#DIV/0!</v>
      </c>
      <c r="D76" s="407">
        <f>D19+D72+D74</f>
        <v>0</v>
      </c>
    </row>
  </sheetData>
  <phoneticPr fontId="33" type="noConversion"/>
  <pageMargins left="0.75" right="0.75" top="1" bottom="1" header="0.5" footer="0.5"/>
  <pageSetup scale="50" firstPageNumber="213" orientation="portrait" useFirstPageNumber="1"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6FE649AC536A145A9D0B3571A2198F2" ma:contentTypeVersion="17" ma:contentTypeDescription="Create a new document." ma:contentTypeScope="" ma:versionID="0a223a8084aa29f96e6e6fbfdd21fa09">
  <xsd:schema xmlns:xsd="http://www.w3.org/2001/XMLSchema" xmlns:xs="http://www.w3.org/2001/XMLSchema" xmlns:p="http://schemas.microsoft.com/office/2006/metadata/properties" xmlns:ns2="ce6407ea-3f2c-4b1f-9bb3-8b6e67c68c17" xmlns:ns3="a87c9a78-4c74-453b-87e3-f984359c2a8d" targetNamespace="http://schemas.microsoft.com/office/2006/metadata/properties" ma:root="true" ma:fieldsID="1eaac2ce3eec2cf07fd2a3a983c3efb3" ns2:_="" ns3:_="">
    <xsd:import namespace="ce6407ea-3f2c-4b1f-9bb3-8b6e67c68c17"/>
    <xsd:import namespace="a87c9a78-4c74-453b-87e3-f984359c2a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Numb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07ea-3f2c-4b1f-9bb3-8b6e67c68c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Number" ma:index="22" nillable="true" ma:displayName="Number" ma:format="Dropdown" ma:internalName="Number">
      <xsd:simpleType>
        <xsd:restriction base="dms:Text">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7c9a78-4c74-453b-87e3-f984359c2a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71d04ade-61c1-49cd-9efb-d12455152372}" ma:internalName="TaxCatchAll" ma:showField="CatchAllData" ma:web="a87c9a78-4c74-453b-87e3-f984359c2a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9CE710-4D22-4CBD-838E-BEA95A9B5A8E}">
  <ds:schemaRefs>
    <ds:schemaRef ds:uri="http://schemas.microsoft.com/sharepoint/v3/contenttype/forms"/>
  </ds:schemaRefs>
</ds:datastoreItem>
</file>

<file path=customXml/itemProps2.xml><?xml version="1.0" encoding="utf-8"?>
<ds:datastoreItem xmlns:ds="http://schemas.openxmlformats.org/officeDocument/2006/customXml" ds:itemID="{7B4E3434-9B23-49B6-853F-68F653CDC1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6407ea-3f2c-4b1f-9bb3-8b6e67c68c17"/>
    <ds:schemaRef ds:uri="a87c9a78-4c74-453b-87e3-f984359c2a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21</vt:i4>
      </vt:variant>
    </vt:vector>
  </HeadingPairs>
  <TitlesOfParts>
    <vt:vector size="36" baseType="lpstr">
      <vt:lpstr>Instructions</vt:lpstr>
      <vt:lpstr>Sources and Use</vt:lpstr>
      <vt:lpstr>Devel. Bud</vt:lpstr>
      <vt:lpstr>Cons Int &amp; Neg Arb</vt:lpstr>
      <vt:lpstr>Units &amp; Income</vt:lpstr>
      <vt:lpstr>M and O</vt:lpstr>
      <vt:lpstr>Mort</vt:lpstr>
      <vt:lpstr>Cash Flow</vt:lpstr>
      <vt:lpstr>Tax Credit </vt:lpstr>
      <vt:lpstr>Trade Pmt</vt:lpstr>
      <vt:lpstr>Pro Forma Summary</vt:lpstr>
      <vt:lpstr>Fl Area Summary</vt:lpstr>
      <vt:lpstr>AMI &amp; Rent</vt:lpstr>
      <vt:lpstr>Expanded UA Table</vt:lpstr>
      <vt:lpstr>Project Summary</vt:lpstr>
      <vt:lpstr>DEVFEE</vt:lpstr>
      <vt:lpstr>EQUITY</vt:lpstr>
      <vt:lpstr>Expenses</vt:lpstr>
      <vt:lpstr>FIRST</vt:lpstr>
      <vt:lpstr>LAUNDRY</vt:lpstr>
      <vt:lpstr>NOI</vt:lpstr>
      <vt:lpstr>'AMI &amp; Rent'!Print_Area</vt:lpstr>
      <vt:lpstr>'Cons Int &amp; Neg Arb'!Print_Area</vt:lpstr>
      <vt:lpstr>'Devel. Bud'!Print_Area</vt:lpstr>
      <vt:lpstr>'M and O'!Print_Area</vt:lpstr>
      <vt:lpstr>Mort!Print_Area</vt:lpstr>
      <vt:lpstr>'Project Summary'!Print_Area</vt:lpstr>
      <vt:lpstr>'Sources and Use'!Print_Area</vt:lpstr>
      <vt:lpstr>'Tax Credit '!Print_Area</vt:lpstr>
      <vt:lpstr>'Units &amp; Income'!Print_Area</vt:lpstr>
      <vt:lpstr>'Cash Flow'!Print_Titles</vt:lpstr>
      <vt:lpstr>ROOMS</vt:lpstr>
      <vt:lpstr>SECOND</vt:lpstr>
      <vt:lpstr>Second_Mortgage</vt:lpstr>
      <vt:lpstr>TOTALLOAN</vt:lpstr>
      <vt:lpstr>UNITS</vt:lpstr>
    </vt:vector>
  </TitlesOfParts>
  <Company>NYC Housing Development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mschatz</dc:creator>
  <cp:lastModifiedBy>Anand, Puja  (HPD)</cp:lastModifiedBy>
  <cp:lastPrinted>2021-04-02T17:11:13Z</cp:lastPrinted>
  <dcterms:created xsi:type="dcterms:W3CDTF">1998-09-24T19:31:31Z</dcterms:created>
  <dcterms:modified xsi:type="dcterms:W3CDTF">2024-06-06T14:47:37Z</dcterms:modified>
</cp:coreProperties>
</file>